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7660" windowHeight="7440" tabRatio="648"/>
  </bookViews>
  <sheets>
    <sheet name="READ ME" sheetId="24" r:id="rId1"/>
    <sheet name="biomass_WT" sheetId="6" r:id="rId2"/>
    <sheet name="biomass_core" sheetId="29" r:id="rId3"/>
    <sheet name="maintenance" sheetId="17" r:id="rId4"/>
    <sheet name="soluble_pool" sheetId="13" r:id="rId5"/>
    <sheet name="ion" sheetId="10" r:id="rId6"/>
    <sheet name="murein" sheetId="5" r:id="rId7"/>
    <sheet name="lipids" sheetId="19" r:id="rId8"/>
    <sheet name="DNA" sheetId="26" r:id="rId9"/>
    <sheet name="macromolecular" sheetId="28" r:id="rId10"/>
    <sheet name="BOF_lists" sheetId="30" r:id="rId11"/>
    <sheet name="functional_testing" sheetId="32" r:id="rId12"/>
  </sheets>
  <definedNames>
    <definedName name="_xlnm.Print_Area" localSheetId="2">biomass_core!$F$4:$I$79</definedName>
    <definedName name="_xlnm.Print_Area" localSheetId="1">biomass_WT!$F$4:$I$107</definedName>
    <definedName name="_xlnm.Print_Area" localSheetId="9">macromolecular!$A$1:$I$31</definedName>
  </definedNames>
  <calcPr calcId="145621"/>
</workbook>
</file>

<file path=xl/calcChain.xml><?xml version="1.0" encoding="utf-8"?>
<calcChain xmlns="http://schemas.openxmlformats.org/spreadsheetml/2006/main">
  <c r="I4" i="28" l="1"/>
  <c r="I3" i="28"/>
  <c r="H10" i="28"/>
  <c r="H8" i="28"/>
  <c r="H7" i="28"/>
  <c r="H6" i="28"/>
  <c r="H5" i="28"/>
  <c r="H4" i="28"/>
  <c r="H3" i="28"/>
  <c r="G36" i="13"/>
  <c r="G35" i="13"/>
  <c r="G34" i="13"/>
  <c r="G33" i="13"/>
  <c r="G32" i="13"/>
  <c r="G31" i="13"/>
  <c r="G30" i="13"/>
  <c r="G28" i="13"/>
  <c r="G27" i="13"/>
  <c r="G26" i="13"/>
  <c r="G25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6" i="13"/>
  <c r="G5" i="13"/>
  <c r="H5" i="13" s="1"/>
  <c r="D33" i="10" l="1"/>
  <c r="E5" i="10"/>
  <c r="K36" i="30"/>
  <c r="K44" i="30" s="1"/>
  <c r="K39" i="30"/>
  <c r="K47" i="30" s="1"/>
  <c r="K43" i="30"/>
  <c r="K51" i="30" s="1"/>
  <c r="K41" i="30"/>
  <c r="K49" i="30" s="1"/>
  <c r="K42" i="30"/>
  <c r="K50" i="30" s="1"/>
  <c r="K40" i="30"/>
  <c r="K37" i="30"/>
  <c r="K45" i="30" s="1"/>
  <c r="K38" i="30"/>
  <c r="K46" i="30" s="1"/>
  <c r="O44" i="30"/>
  <c r="O40" i="30"/>
  <c r="E35" i="19"/>
  <c r="K48" i="30"/>
  <c r="C51" i="30"/>
  <c r="C50" i="30"/>
  <c r="C49" i="30"/>
  <c r="C48" i="30"/>
  <c r="Q34" i="29"/>
  <c r="S34" i="29" s="1"/>
  <c r="T34" i="29" s="1"/>
  <c r="Q82" i="29"/>
  <c r="Q81" i="29"/>
  <c r="Q80" i="29"/>
  <c r="Q79" i="29"/>
  <c r="Q78" i="29"/>
  <c r="Q77" i="29"/>
  <c r="Q76" i="29"/>
  <c r="Q71" i="29"/>
  <c r="Q70" i="29"/>
  <c r="Q69" i="29"/>
  <c r="S69" i="29" s="1"/>
  <c r="F69" i="29"/>
  <c r="AD69" i="29" s="1"/>
  <c r="Q68" i="29"/>
  <c r="S68" i="29" s="1"/>
  <c r="Q67" i="29"/>
  <c r="S67" i="29" s="1"/>
  <c r="Q66" i="29"/>
  <c r="S66" i="29"/>
  <c r="Q65" i="29"/>
  <c r="S65" i="29" s="1"/>
  <c r="Q64" i="29"/>
  <c r="S64" i="29" s="1"/>
  <c r="Q63" i="29"/>
  <c r="S63" i="29" s="1"/>
  <c r="Q62" i="29"/>
  <c r="S62" i="29" s="1"/>
  <c r="Q61" i="29"/>
  <c r="S61" i="29"/>
  <c r="Q60" i="29"/>
  <c r="S60" i="29" s="1"/>
  <c r="Q59" i="29"/>
  <c r="S59" i="29" s="1"/>
  <c r="Q58" i="29"/>
  <c r="S58" i="29"/>
  <c r="Q57" i="29"/>
  <c r="S57" i="29" s="1"/>
  <c r="Q56" i="29"/>
  <c r="S56" i="29" s="1"/>
  <c r="Q55" i="29"/>
  <c r="S55" i="29" s="1"/>
  <c r="Q54" i="29"/>
  <c r="S54" i="29" s="1"/>
  <c r="Q53" i="29"/>
  <c r="S53" i="29"/>
  <c r="Q52" i="29"/>
  <c r="S52" i="29" s="1"/>
  <c r="Q51" i="29"/>
  <c r="S51" i="29" s="1"/>
  <c r="Q50" i="29"/>
  <c r="S50" i="29"/>
  <c r="Q49" i="29"/>
  <c r="S49" i="29" s="1"/>
  <c r="S48" i="29"/>
  <c r="S47" i="29"/>
  <c r="Q46" i="29"/>
  <c r="S46" i="29" s="1"/>
  <c r="S45" i="29"/>
  <c r="S44" i="29"/>
  <c r="S43" i="29"/>
  <c r="S42" i="29"/>
  <c r="S41" i="29"/>
  <c r="E41" i="29"/>
  <c r="S40" i="29"/>
  <c r="S39" i="29"/>
  <c r="S38" i="29"/>
  <c r="Q37" i="29"/>
  <c r="S37" i="29" s="1"/>
  <c r="S36" i="29"/>
  <c r="Q35" i="29"/>
  <c r="S35" i="29" s="1"/>
  <c r="Q33" i="29"/>
  <c r="S33" i="29" s="1"/>
  <c r="T33" i="29" s="1"/>
  <c r="U33" i="29" s="1"/>
  <c r="Q32" i="29"/>
  <c r="S32" i="29"/>
  <c r="T32" i="29" s="1"/>
  <c r="Q31" i="29"/>
  <c r="Q30" i="29"/>
  <c r="Q29" i="29"/>
  <c r="Q28" i="29"/>
  <c r="S28" i="29" s="1"/>
  <c r="Q27" i="29"/>
  <c r="S27" i="29" s="1"/>
  <c r="T27" i="29" s="1"/>
  <c r="E27" i="29"/>
  <c r="Q26" i="29"/>
  <c r="S26" i="29"/>
  <c r="E26" i="29"/>
  <c r="Q25" i="29"/>
  <c r="E25" i="29"/>
  <c r="Q24" i="29"/>
  <c r="S24" i="29" s="1"/>
  <c r="T24" i="29" s="1"/>
  <c r="E24" i="29"/>
  <c r="Q23" i="29"/>
  <c r="Q22" i="29"/>
  <c r="Q21" i="29"/>
  <c r="Q20" i="29"/>
  <c r="Q19" i="29"/>
  <c r="Q18" i="29"/>
  <c r="S18" i="29" s="1"/>
  <c r="T18" i="29" s="1"/>
  <c r="Q17" i="29"/>
  <c r="Q16" i="29"/>
  <c r="Q15" i="29"/>
  <c r="Q14" i="29"/>
  <c r="S14" i="29" s="1"/>
  <c r="T14" i="29" s="1"/>
  <c r="Q13" i="29"/>
  <c r="S13" i="29" s="1"/>
  <c r="T13" i="29" s="1"/>
  <c r="Q12" i="29"/>
  <c r="Q11" i="29"/>
  <c r="Q10" i="29"/>
  <c r="S10" i="29" s="1"/>
  <c r="T10" i="29" s="1"/>
  <c r="Q9" i="29"/>
  <c r="S9" i="29" s="1"/>
  <c r="T9" i="29" s="1"/>
  <c r="Q8" i="29"/>
  <c r="S8" i="29" s="1"/>
  <c r="T8" i="29" s="1"/>
  <c r="E8" i="29"/>
  <c r="Q7" i="29"/>
  <c r="S7" i="29" s="1"/>
  <c r="T7" i="29" s="1"/>
  <c r="Q6" i="29"/>
  <c r="S6" i="29" s="1"/>
  <c r="T6" i="29" s="1"/>
  <c r="Q5" i="29"/>
  <c r="S5" i="29"/>
  <c r="T5" i="29"/>
  <c r="Q4" i="29"/>
  <c r="S4" i="29" s="1"/>
  <c r="T4" i="29" s="1"/>
  <c r="S11" i="29"/>
  <c r="T11" i="29"/>
  <c r="S15" i="29"/>
  <c r="T15" i="29"/>
  <c r="S17" i="29"/>
  <c r="T17" i="29" s="1"/>
  <c r="S19" i="29"/>
  <c r="T19" i="29" s="1"/>
  <c r="S21" i="29"/>
  <c r="T21" i="29" s="1"/>
  <c r="S23" i="29"/>
  <c r="T23" i="29" s="1"/>
  <c r="S29" i="29"/>
  <c r="T29" i="29"/>
  <c r="S31" i="29"/>
  <c r="T31" i="29" s="1"/>
  <c r="S12" i="29"/>
  <c r="T12" i="29"/>
  <c r="S16" i="29"/>
  <c r="T16" i="29" s="1"/>
  <c r="S20" i="29"/>
  <c r="T20" i="29"/>
  <c r="S22" i="29"/>
  <c r="T22" i="29" s="1"/>
  <c r="T28" i="29"/>
  <c r="S30" i="29"/>
  <c r="T30" i="29" s="1"/>
  <c r="T26" i="29"/>
  <c r="T41" i="29"/>
  <c r="V33" i="29"/>
  <c r="W33" i="29" s="1"/>
  <c r="T35" i="29"/>
  <c r="U34" i="29"/>
  <c r="V35" i="29" s="1"/>
  <c r="W35" i="29" s="1"/>
  <c r="X35" i="29" s="1"/>
  <c r="F35" i="29" s="1"/>
  <c r="AD35" i="29" s="1"/>
  <c r="U32" i="29"/>
  <c r="V32" i="29"/>
  <c r="W32" i="29" s="1"/>
  <c r="Q40" i="6"/>
  <c r="S40" i="6"/>
  <c r="Q41" i="6"/>
  <c r="Q42" i="6"/>
  <c r="S42" i="6" s="1"/>
  <c r="Q43" i="6"/>
  <c r="Q44" i="6"/>
  <c r="Q45" i="6"/>
  <c r="Q46" i="6"/>
  <c r="S46" i="6" s="1"/>
  <c r="Q47" i="6"/>
  <c r="Q48" i="6"/>
  <c r="Q49" i="6"/>
  <c r="Q50" i="6"/>
  <c r="S47" i="6"/>
  <c r="S43" i="6"/>
  <c r="H10" i="19"/>
  <c r="H9" i="19"/>
  <c r="H8" i="19"/>
  <c r="I8" i="19" s="1"/>
  <c r="I10" i="28"/>
  <c r="E27" i="6"/>
  <c r="E24" i="6"/>
  <c r="E26" i="6"/>
  <c r="E25" i="6"/>
  <c r="H9" i="28"/>
  <c r="G12" i="28"/>
  <c r="E6" i="13"/>
  <c r="E5" i="13"/>
  <c r="I5" i="13" s="1"/>
  <c r="F4" i="28"/>
  <c r="F5" i="28"/>
  <c r="F6" i="28"/>
  <c r="F3" i="28"/>
  <c r="H12" i="19"/>
  <c r="F26" i="28"/>
  <c r="F25" i="28"/>
  <c r="F28" i="28" s="1"/>
  <c r="F12" i="28"/>
  <c r="C12" i="28"/>
  <c r="C7" i="26"/>
  <c r="D7" i="26" s="1"/>
  <c r="S60" i="6"/>
  <c r="S59" i="6"/>
  <c r="Q61" i="6"/>
  <c r="S61" i="6"/>
  <c r="Q66" i="6"/>
  <c r="S66" i="6"/>
  <c r="Q69" i="6"/>
  <c r="S69" i="6"/>
  <c r="Q68" i="6"/>
  <c r="S68" i="6"/>
  <c r="D32" i="10"/>
  <c r="D35" i="10"/>
  <c r="D38" i="10"/>
  <c r="D36" i="10"/>
  <c r="C61" i="10"/>
  <c r="D34" i="10"/>
  <c r="C31" i="10"/>
  <c r="E8" i="6"/>
  <c r="E25" i="10"/>
  <c r="G22" i="10" s="1"/>
  <c r="D55" i="10"/>
  <c r="D57" i="10"/>
  <c r="E57" i="10"/>
  <c r="Q67" i="6"/>
  <c r="S67" i="6" s="1"/>
  <c r="F97" i="6"/>
  <c r="AD97" i="6" s="1"/>
  <c r="Q97" i="6"/>
  <c r="C43" i="13"/>
  <c r="H36" i="13" s="1"/>
  <c r="F57" i="29" s="1"/>
  <c r="AD57" i="29" s="1"/>
  <c r="H35" i="13"/>
  <c r="F68" i="29" s="1"/>
  <c r="AD68" i="29" s="1"/>
  <c r="H34" i="13"/>
  <c r="F64" i="29" s="1"/>
  <c r="AD64" i="29" s="1"/>
  <c r="H33" i="13"/>
  <c r="F63" i="29" s="1"/>
  <c r="AD63" i="29" s="1"/>
  <c r="H31" i="13"/>
  <c r="F61" i="29" s="1"/>
  <c r="AD61" i="29" s="1"/>
  <c r="H30" i="13"/>
  <c r="F85" i="6" s="1"/>
  <c r="H28" i="13"/>
  <c r="F91" i="6" s="1"/>
  <c r="H26" i="13"/>
  <c r="F67" i="29" s="1"/>
  <c r="AD67" i="29" s="1"/>
  <c r="H25" i="13"/>
  <c r="F62" i="29" s="1"/>
  <c r="AD62" i="29" s="1"/>
  <c r="H21" i="13"/>
  <c r="F83" i="6" s="1"/>
  <c r="H19" i="13"/>
  <c r="F58" i="29" s="1"/>
  <c r="AD58" i="29" s="1"/>
  <c r="H18" i="13"/>
  <c r="F66" i="29" s="1"/>
  <c r="AD66" i="29" s="1"/>
  <c r="H16" i="13"/>
  <c r="F65" i="29" s="1"/>
  <c r="AD65" i="29" s="1"/>
  <c r="F92" i="6"/>
  <c r="H15" i="13"/>
  <c r="F79" i="6" s="1"/>
  <c r="H13" i="13"/>
  <c r="F77" i="6"/>
  <c r="H12" i="13"/>
  <c r="F55" i="29" s="1"/>
  <c r="AD55" i="29" s="1"/>
  <c r="H11" i="13"/>
  <c r="H10" i="13"/>
  <c r="F74" i="6" s="1"/>
  <c r="H9" i="13"/>
  <c r="F54" i="29" s="1"/>
  <c r="AD54" i="29" s="1"/>
  <c r="I6" i="13"/>
  <c r="E8" i="17"/>
  <c r="C8" i="17"/>
  <c r="B8" i="17"/>
  <c r="E7" i="17"/>
  <c r="C7" i="17"/>
  <c r="B7" i="17"/>
  <c r="E6" i="17"/>
  <c r="C6" i="17"/>
  <c r="B6" i="17"/>
  <c r="F86" i="6"/>
  <c r="F96" i="6"/>
  <c r="AD96" i="6" s="1"/>
  <c r="Q82" i="6"/>
  <c r="Q83" i="6"/>
  <c r="Q80" i="6"/>
  <c r="S80" i="6" s="1"/>
  <c r="Q81" i="6"/>
  <c r="Q84" i="6"/>
  <c r="Q85" i="6"/>
  <c r="Q86" i="6"/>
  <c r="I31" i="13"/>
  <c r="Q87" i="6"/>
  <c r="Q88" i="6"/>
  <c r="S88" i="6" s="1"/>
  <c r="Q89" i="6"/>
  <c r="Q90" i="6"/>
  <c r="S90" i="6" s="1"/>
  <c r="Q91" i="6"/>
  <c r="Q72" i="6"/>
  <c r="Q73" i="6"/>
  <c r="S73" i="6" s="1"/>
  <c r="Q74" i="6"/>
  <c r="Q75" i="6"/>
  <c r="Q76" i="6"/>
  <c r="S76" i="6" s="1"/>
  <c r="Q77" i="6"/>
  <c r="S77" i="6" s="1"/>
  <c r="Q78" i="6"/>
  <c r="Q79" i="6"/>
  <c r="Q92" i="6"/>
  <c r="S92" i="6" s="1"/>
  <c r="Q93" i="6"/>
  <c r="S93" i="6" s="1"/>
  <c r="Q94" i="6"/>
  <c r="Q95" i="6"/>
  <c r="I26" i="13"/>
  <c r="Q96" i="6"/>
  <c r="S96" i="6" s="1"/>
  <c r="Q70" i="6"/>
  <c r="Q71" i="6"/>
  <c r="S71" i="6" s="1"/>
  <c r="Q31" i="6"/>
  <c r="Q108" i="6"/>
  <c r="S30" i="6" s="1"/>
  <c r="T30" i="6" s="1"/>
  <c r="Q28" i="6"/>
  <c r="Q29" i="6"/>
  <c r="S29" i="6" s="1"/>
  <c r="Q30" i="6"/>
  <c r="S62" i="6"/>
  <c r="S51" i="6"/>
  <c r="Q52" i="6"/>
  <c r="S52" i="6" s="1"/>
  <c r="S53" i="6"/>
  <c r="S54" i="6"/>
  <c r="S55" i="6"/>
  <c r="S56" i="6"/>
  <c r="S57" i="6"/>
  <c r="S58" i="6"/>
  <c r="S63" i="6"/>
  <c r="Q64" i="6"/>
  <c r="S64" i="6" s="1"/>
  <c r="Q65" i="6"/>
  <c r="S65" i="6"/>
  <c r="Q4" i="6"/>
  <c r="Q5" i="6"/>
  <c r="Q6" i="6"/>
  <c r="Q7" i="6"/>
  <c r="Q8" i="6"/>
  <c r="Q9" i="6"/>
  <c r="S9" i="6" s="1"/>
  <c r="T9" i="6" s="1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109" i="6"/>
  <c r="Q39" i="6"/>
  <c r="S39" i="6" s="1"/>
  <c r="S41" i="6"/>
  <c r="S44" i="6"/>
  <c r="S45" i="6"/>
  <c r="S48" i="6"/>
  <c r="S49" i="6"/>
  <c r="S50" i="6"/>
  <c r="G7" i="5"/>
  <c r="E33" i="6" s="1"/>
  <c r="Q33" i="6"/>
  <c r="S33" i="6" s="1"/>
  <c r="G8" i="5"/>
  <c r="E34" i="6"/>
  <c r="Q34" i="6"/>
  <c r="S34" i="6" s="1"/>
  <c r="G9" i="5"/>
  <c r="E35" i="6" s="1"/>
  <c r="T35" i="6" s="1"/>
  <c r="Q35" i="6"/>
  <c r="S35" i="6" s="1"/>
  <c r="G10" i="5"/>
  <c r="E36" i="6"/>
  <c r="Q36" i="6"/>
  <c r="S36" i="6" s="1"/>
  <c r="T36" i="6" s="1"/>
  <c r="G11" i="5"/>
  <c r="E37" i="6" s="1"/>
  <c r="Q37" i="6"/>
  <c r="S37" i="6" s="1"/>
  <c r="T37" i="6" s="1"/>
  <c r="C25" i="19"/>
  <c r="F35" i="19"/>
  <c r="G35" i="19"/>
  <c r="E26" i="19" s="1"/>
  <c r="H31" i="19"/>
  <c r="H32" i="19"/>
  <c r="H33" i="19"/>
  <c r="H30" i="19"/>
  <c r="Q24" i="6"/>
  <c r="S24" i="6" s="1"/>
  <c r="T24" i="6" s="1"/>
  <c r="U24" i="6" s="1"/>
  <c r="V26" i="6" s="1"/>
  <c r="W26" i="6" s="1"/>
  <c r="X26" i="6" s="1"/>
  <c r="F26" i="6" s="1"/>
  <c r="AD26" i="6" s="1"/>
  <c r="Q107" i="6"/>
  <c r="Q25" i="6"/>
  <c r="S25" i="6" s="1"/>
  <c r="Q26" i="6"/>
  <c r="S26" i="6"/>
  <c r="T26" i="6" s="1"/>
  <c r="Q27" i="6"/>
  <c r="Q32" i="6"/>
  <c r="S32" i="6" s="1"/>
  <c r="T32" i="6" s="1"/>
  <c r="Q38" i="6"/>
  <c r="S38" i="6"/>
  <c r="T38" i="6" s="1"/>
  <c r="U38" i="6" s="1"/>
  <c r="Q98" i="6"/>
  <c r="Q99" i="6"/>
  <c r="Q104" i="6"/>
  <c r="Q105" i="6"/>
  <c r="Q106" i="6"/>
  <c r="C35" i="19"/>
  <c r="D35" i="19"/>
  <c r="Q110" i="6"/>
  <c r="S82" i="6"/>
  <c r="F75" i="6"/>
  <c r="F73" i="6"/>
  <c r="F87" i="6"/>
  <c r="AD87" i="6" s="1"/>
  <c r="F93" i="6"/>
  <c r="F81" i="6"/>
  <c r="AD81" i="6" s="1"/>
  <c r="F89" i="6"/>
  <c r="AD89" i="6" s="1"/>
  <c r="F95" i="6"/>
  <c r="AD95" i="6" s="1"/>
  <c r="S95" i="6"/>
  <c r="S81" i="6"/>
  <c r="S31" i="6"/>
  <c r="T31" i="6" s="1"/>
  <c r="S94" i="6"/>
  <c r="S78" i="6"/>
  <c r="I10" i="13"/>
  <c r="S83" i="6"/>
  <c r="I35" i="13"/>
  <c r="I13" i="13"/>
  <c r="I9" i="13"/>
  <c r="S87" i="6"/>
  <c r="I25" i="13"/>
  <c r="S13" i="6"/>
  <c r="T13" i="6" s="1"/>
  <c r="I16" i="13"/>
  <c r="I12" i="13"/>
  <c r="I34" i="13"/>
  <c r="I19" i="13"/>
  <c r="F70" i="6"/>
  <c r="S97" i="6"/>
  <c r="I17" i="13"/>
  <c r="I15" i="13"/>
  <c r="S75" i="6"/>
  <c r="I11" i="13"/>
  <c r="S91" i="6"/>
  <c r="I28" i="13"/>
  <c r="S89" i="6"/>
  <c r="I33" i="13"/>
  <c r="S85" i="6"/>
  <c r="I30" i="13"/>
  <c r="S84" i="6"/>
  <c r="E68" i="6"/>
  <c r="T68" i="6" s="1"/>
  <c r="AD74" i="6"/>
  <c r="S27" i="6"/>
  <c r="T25" i="6"/>
  <c r="D56" i="10"/>
  <c r="E56" i="10"/>
  <c r="AD83" i="6"/>
  <c r="AD91" i="6"/>
  <c r="T34" i="6"/>
  <c r="AD85" i="6"/>
  <c r="S86" i="6"/>
  <c r="T29" i="6"/>
  <c r="T27" i="6"/>
  <c r="S79" i="6"/>
  <c r="S72" i="6"/>
  <c r="S74" i="6"/>
  <c r="S16" i="6"/>
  <c r="T16" i="6" s="1"/>
  <c r="S5" i="6"/>
  <c r="T5" i="6" s="1"/>
  <c r="AD75" i="6"/>
  <c r="AD92" i="6"/>
  <c r="C64" i="10"/>
  <c r="C63" i="10"/>
  <c r="C62" i="10"/>
  <c r="G24" i="10"/>
  <c r="G13" i="10"/>
  <c r="E43" i="29" s="1"/>
  <c r="T43" i="29" s="1"/>
  <c r="G23" i="10"/>
  <c r="E53" i="29" s="1"/>
  <c r="T53" i="29" s="1"/>
  <c r="E69" i="6"/>
  <c r="G10" i="10"/>
  <c r="G8" i="10"/>
  <c r="E48" i="29" s="1"/>
  <c r="T48" i="29" s="1"/>
  <c r="E63" i="6"/>
  <c r="T63" i="6" s="1"/>
  <c r="G17" i="10"/>
  <c r="E56" i="6"/>
  <c r="T56" i="6" s="1"/>
  <c r="G12" i="10"/>
  <c r="E42" i="29" s="1"/>
  <c r="T42" i="29" s="1"/>
  <c r="G15" i="10"/>
  <c r="E45" i="29" s="1"/>
  <c r="T45" i="29" s="1"/>
  <c r="G11" i="10"/>
  <c r="E50" i="29" s="1"/>
  <c r="T50" i="29" s="1"/>
  <c r="G21" i="10"/>
  <c r="E52" i="29" s="1"/>
  <c r="T52" i="29" s="1"/>
  <c r="G4" i="10"/>
  <c r="E36" i="29" s="1"/>
  <c r="T36" i="29" s="1"/>
  <c r="G7" i="10"/>
  <c r="E38" i="29" s="1"/>
  <c r="T38" i="29" s="1"/>
  <c r="G9" i="10"/>
  <c r="E39" i="29" s="1"/>
  <c r="T39" i="29" s="1"/>
  <c r="I11" i="19"/>
  <c r="C11" i="19" s="1"/>
  <c r="C18" i="19" s="1"/>
  <c r="I9" i="19"/>
  <c r="I10" i="19"/>
  <c r="I18" i="13"/>
  <c r="S70" i="6"/>
  <c r="C26" i="19"/>
  <c r="F90" i="6"/>
  <c r="G16" i="10"/>
  <c r="E46" i="29" s="1"/>
  <c r="T46" i="29" s="1"/>
  <c r="S28" i="6"/>
  <c r="T28" i="6" s="1"/>
  <c r="U28" i="6" s="1"/>
  <c r="G14" i="10"/>
  <c r="E44" i="29" s="1"/>
  <c r="T44" i="29" s="1"/>
  <c r="H6" i="13"/>
  <c r="F71" i="6" s="1"/>
  <c r="I21" i="13"/>
  <c r="G19" i="10"/>
  <c r="E49" i="29" s="1"/>
  <c r="G18" i="10"/>
  <c r="E37" i="29" s="1"/>
  <c r="T37" i="29" s="1"/>
  <c r="G20" i="10"/>
  <c r="E51" i="29" s="1"/>
  <c r="T51" i="29" s="1"/>
  <c r="C10" i="19"/>
  <c r="C17" i="19" s="1"/>
  <c r="D10" i="19"/>
  <c r="D17" i="19" s="1"/>
  <c r="E45" i="6" s="1"/>
  <c r="E10" i="19"/>
  <c r="E17" i="19" s="1"/>
  <c r="E49" i="6" s="1"/>
  <c r="T49" i="6" s="1"/>
  <c r="E9" i="19"/>
  <c r="E16" i="19" s="1"/>
  <c r="E48" i="6" s="1"/>
  <c r="T48" i="6" s="1"/>
  <c r="C9" i="19"/>
  <c r="C16" i="19" s="1"/>
  <c r="E40" i="6" s="1"/>
  <c r="T40" i="6" s="1"/>
  <c r="D9" i="19"/>
  <c r="D16" i="19" s="1"/>
  <c r="E44" i="6" s="1"/>
  <c r="E11" i="19"/>
  <c r="E18" i="19" s="1"/>
  <c r="E50" i="6" s="1"/>
  <c r="E59" i="6"/>
  <c r="T59" i="6" s="1"/>
  <c r="E58" i="6"/>
  <c r="T58" i="6" s="1"/>
  <c r="E57" i="6"/>
  <c r="T57" i="6" s="1"/>
  <c r="E54" i="6"/>
  <c r="T54" i="6" s="1"/>
  <c r="E65" i="6"/>
  <c r="T65" i="6" s="1"/>
  <c r="E67" i="6"/>
  <c r="T67" i="6" s="1"/>
  <c r="E51" i="6"/>
  <c r="E66" i="6"/>
  <c r="T66" i="6" s="1"/>
  <c r="E64" i="6"/>
  <c r="E61" i="6"/>
  <c r="E52" i="6"/>
  <c r="T52" i="6" s="1"/>
  <c r="S25" i="29" l="1"/>
  <c r="T25" i="29" s="1"/>
  <c r="T49" i="29"/>
  <c r="V34" i="29"/>
  <c r="W34" i="29" s="1"/>
  <c r="AD86" i="6"/>
  <c r="V30" i="6"/>
  <c r="W30" i="6" s="1"/>
  <c r="X30" i="6" s="1"/>
  <c r="F30" i="6" s="1"/>
  <c r="AD30" i="6" s="1"/>
  <c r="V29" i="6"/>
  <c r="W29" i="6" s="1"/>
  <c r="X29" i="6" s="1"/>
  <c r="F29" i="6" s="1"/>
  <c r="AD29" i="6" s="1"/>
  <c r="T64" i="6"/>
  <c r="AD71" i="6"/>
  <c r="T50" i="6"/>
  <c r="AD90" i="6"/>
  <c r="AD79" i="6"/>
  <c r="T51" i="6"/>
  <c r="T44" i="6"/>
  <c r="T45" i="6"/>
  <c r="V38" i="6"/>
  <c r="W38" i="6" s="1"/>
  <c r="AD70" i="6"/>
  <c r="AD93" i="6"/>
  <c r="AD77" i="6"/>
  <c r="T61" i="6"/>
  <c r="T69" i="6"/>
  <c r="AD73" i="6"/>
  <c r="S21" i="6"/>
  <c r="T21" i="6" s="1"/>
  <c r="U32" i="6"/>
  <c r="V32" i="6" s="1"/>
  <c r="W32" i="6" s="1"/>
  <c r="E42" i="6"/>
  <c r="T42" i="6" s="1"/>
  <c r="V25" i="6"/>
  <c r="W25" i="6" s="1"/>
  <c r="X25" i="6" s="1"/>
  <c r="F25" i="6" s="1"/>
  <c r="AD25" i="6" s="1"/>
  <c r="D25" i="19"/>
  <c r="D26" i="19"/>
  <c r="I8" i="28"/>
  <c r="G16" i="19"/>
  <c r="E53" i="6"/>
  <c r="T53" i="6" s="1"/>
  <c r="H35" i="19"/>
  <c r="E47" i="29"/>
  <c r="T47" i="29" s="1"/>
  <c r="E62" i="6"/>
  <c r="T62" i="6" s="1"/>
  <c r="I36" i="13"/>
  <c r="V31" i="6"/>
  <c r="W31" i="6" s="1"/>
  <c r="X31" i="6" s="1"/>
  <c r="F31" i="6" s="1"/>
  <c r="AD31" i="6" s="1"/>
  <c r="T33" i="6"/>
  <c r="V24" i="6"/>
  <c r="W24" i="6" s="1"/>
  <c r="E60" i="6"/>
  <c r="T60" i="6" s="1"/>
  <c r="D11" i="19"/>
  <c r="D18" i="19" s="1"/>
  <c r="E46" i="6" s="1"/>
  <c r="T46" i="6" s="1"/>
  <c r="F80" i="6"/>
  <c r="AD80" i="6" s="1"/>
  <c r="V28" i="6"/>
  <c r="W28" i="6" s="1"/>
  <c r="G17" i="19"/>
  <c r="E41" i="6"/>
  <c r="T41" i="6" s="1"/>
  <c r="V27" i="6"/>
  <c r="W27" i="6" s="1"/>
  <c r="X27" i="6" s="1"/>
  <c r="F27" i="6" s="1"/>
  <c r="AD27" i="6" s="1"/>
  <c r="S22" i="6"/>
  <c r="T22" i="6" s="1"/>
  <c r="S19" i="6"/>
  <c r="T19" i="6" s="1"/>
  <c r="S11" i="6"/>
  <c r="T11" i="6" s="1"/>
  <c r="S18" i="6"/>
  <c r="T18" i="6" s="1"/>
  <c r="S10" i="6"/>
  <c r="T10" i="6" s="1"/>
  <c r="S17" i="6"/>
  <c r="T17" i="6" s="1"/>
  <c r="S6" i="6"/>
  <c r="T6" i="6" s="1"/>
  <c r="S23" i="6"/>
  <c r="T23" i="6" s="1"/>
  <c r="S15" i="6"/>
  <c r="T15" i="6" s="1"/>
  <c r="S7" i="6"/>
  <c r="T7" i="6" s="1"/>
  <c r="S14" i="6"/>
  <c r="T14" i="6" s="1"/>
  <c r="S20" i="6"/>
  <c r="T20" i="6" s="1"/>
  <c r="S12" i="6"/>
  <c r="T12" i="6" s="1"/>
  <c r="S8" i="6"/>
  <c r="T8" i="6" s="1"/>
  <c r="S4" i="6"/>
  <c r="T4" i="6" s="1"/>
  <c r="AB35" i="29"/>
  <c r="X34" i="29"/>
  <c r="AB33" i="29"/>
  <c r="X33" i="29"/>
  <c r="G26" i="28"/>
  <c r="G25" i="28"/>
  <c r="E8" i="19"/>
  <c r="E15" i="19" s="1"/>
  <c r="C8" i="19"/>
  <c r="C15" i="19" s="1"/>
  <c r="D8" i="19"/>
  <c r="D15" i="19" s="1"/>
  <c r="I7" i="28"/>
  <c r="X32" i="29"/>
  <c r="AB32" i="29"/>
  <c r="H12" i="28"/>
  <c r="I9" i="28" s="1"/>
  <c r="U28" i="29"/>
  <c r="V29" i="29" s="1"/>
  <c r="W29" i="29" s="1"/>
  <c r="X29" i="29" s="1"/>
  <c r="F29" i="29" s="1"/>
  <c r="AD29" i="29" s="1"/>
  <c r="H8" i="13"/>
  <c r="F72" i="6" s="1"/>
  <c r="AD72" i="6" s="1"/>
  <c r="F76" i="6"/>
  <c r="AD76" i="6" s="1"/>
  <c r="H14" i="13"/>
  <c r="H20" i="13"/>
  <c r="H22" i="13"/>
  <c r="H27" i="13"/>
  <c r="H32" i="13"/>
  <c r="U24" i="29"/>
  <c r="V27" i="29" s="1"/>
  <c r="W27" i="29" s="1"/>
  <c r="X27" i="29" s="1"/>
  <c r="F27" i="29" s="1"/>
  <c r="AD27" i="29" s="1"/>
  <c r="V28" i="29"/>
  <c r="W28" i="29" s="1"/>
  <c r="U4" i="29"/>
  <c r="V19" i="29" s="1"/>
  <c r="W19" i="29" s="1"/>
  <c r="X19" i="29" s="1"/>
  <c r="F19" i="29" s="1"/>
  <c r="AD19" i="29" s="1"/>
  <c r="V25" i="29"/>
  <c r="W25" i="29" s="1"/>
  <c r="X25" i="29" s="1"/>
  <c r="F25" i="29" s="1"/>
  <c r="AD25" i="29" s="1"/>
  <c r="G5" i="10"/>
  <c r="V30" i="29" l="1"/>
  <c r="W30" i="29" s="1"/>
  <c r="X30" i="29" s="1"/>
  <c r="F30" i="29" s="1"/>
  <c r="AD30" i="29" s="1"/>
  <c r="X38" i="6"/>
  <c r="AB38" i="6"/>
  <c r="F56" i="29"/>
  <c r="AD56" i="29" s="1"/>
  <c r="F78" i="6"/>
  <c r="AD78" i="6" s="1"/>
  <c r="I14" i="13"/>
  <c r="V17" i="29"/>
  <c r="W17" i="29" s="1"/>
  <c r="X17" i="29" s="1"/>
  <c r="F17" i="29" s="1"/>
  <c r="AD17" i="29" s="1"/>
  <c r="V9" i="29"/>
  <c r="W9" i="29" s="1"/>
  <c r="X9" i="29" s="1"/>
  <c r="F9" i="29" s="1"/>
  <c r="AD9" i="29" s="1"/>
  <c r="U33" i="6"/>
  <c r="V33" i="6" s="1"/>
  <c r="W33" i="6" s="1"/>
  <c r="AB32" i="6"/>
  <c r="X32" i="6"/>
  <c r="Z35" i="29"/>
  <c r="F34" i="29"/>
  <c r="AD34" i="29" s="1"/>
  <c r="AF35" i="29" s="1"/>
  <c r="V15" i="6"/>
  <c r="W15" i="6" s="1"/>
  <c r="X15" i="6" s="1"/>
  <c r="F15" i="6" s="1"/>
  <c r="AD15" i="6" s="1"/>
  <c r="I6" i="28"/>
  <c r="V10" i="29"/>
  <c r="W10" i="29" s="1"/>
  <c r="X10" i="29" s="1"/>
  <c r="F10" i="29" s="1"/>
  <c r="AD10" i="29" s="1"/>
  <c r="F94" i="6"/>
  <c r="AD94" i="6" s="1"/>
  <c r="I22" i="13"/>
  <c r="E43" i="6"/>
  <c r="T43" i="6" s="1"/>
  <c r="D20" i="19"/>
  <c r="X28" i="6"/>
  <c r="AB31" i="6"/>
  <c r="I12" i="28"/>
  <c r="G18" i="19"/>
  <c r="V16" i="29"/>
  <c r="W16" i="29" s="1"/>
  <c r="X16" i="29" s="1"/>
  <c r="F16" i="29" s="1"/>
  <c r="AD16" i="29" s="1"/>
  <c r="V20" i="29"/>
  <c r="W20" i="29" s="1"/>
  <c r="X20" i="29" s="1"/>
  <c r="F20" i="29" s="1"/>
  <c r="AD20" i="29" s="1"/>
  <c r="V4" i="29"/>
  <c r="W4" i="29" s="1"/>
  <c r="V11" i="29"/>
  <c r="W11" i="29" s="1"/>
  <c r="X11" i="29" s="1"/>
  <c r="F11" i="29" s="1"/>
  <c r="AD11" i="29" s="1"/>
  <c r="V7" i="29"/>
  <c r="W7" i="29" s="1"/>
  <c r="X7" i="29" s="1"/>
  <c r="F7" i="29" s="1"/>
  <c r="AD7" i="29" s="1"/>
  <c r="V5" i="29"/>
  <c r="W5" i="29" s="1"/>
  <c r="X5" i="29" s="1"/>
  <c r="F5" i="29" s="1"/>
  <c r="AD5" i="29" s="1"/>
  <c r="V12" i="29"/>
  <c r="W12" i="29" s="1"/>
  <c r="X12" i="29" s="1"/>
  <c r="F12" i="29" s="1"/>
  <c r="AD12" i="29" s="1"/>
  <c r="V22" i="29"/>
  <c r="W22" i="29" s="1"/>
  <c r="X22" i="29" s="1"/>
  <c r="F22" i="29" s="1"/>
  <c r="AD22" i="29" s="1"/>
  <c r="V8" i="29"/>
  <c r="W8" i="29" s="1"/>
  <c r="X8" i="29" s="1"/>
  <c r="F8" i="29" s="1"/>
  <c r="AD8" i="29" s="1"/>
  <c r="F88" i="6"/>
  <c r="AD88" i="6" s="1"/>
  <c r="I32" i="13"/>
  <c r="V23" i="29"/>
  <c r="W23" i="29" s="1"/>
  <c r="X23" i="29" s="1"/>
  <c r="F23" i="29" s="1"/>
  <c r="AD23" i="29" s="1"/>
  <c r="Z32" i="29"/>
  <c r="F32" i="29"/>
  <c r="AD32" i="29" s="1"/>
  <c r="AF32" i="29" s="1"/>
  <c r="E47" i="6"/>
  <c r="T47" i="6" s="1"/>
  <c r="E20" i="19"/>
  <c r="V14" i="29"/>
  <c r="W14" i="29" s="1"/>
  <c r="X14" i="29" s="1"/>
  <c r="F14" i="29" s="1"/>
  <c r="AD14" i="29" s="1"/>
  <c r="V12" i="6"/>
  <c r="W12" i="6" s="1"/>
  <c r="X12" i="6" s="1"/>
  <c r="F12" i="6" s="1"/>
  <c r="AD12" i="6" s="1"/>
  <c r="V15" i="29"/>
  <c r="W15" i="29" s="1"/>
  <c r="X15" i="29" s="1"/>
  <c r="F15" i="29" s="1"/>
  <c r="AD15" i="29" s="1"/>
  <c r="F60" i="29"/>
  <c r="AD60" i="29" s="1"/>
  <c r="F84" i="6"/>
  <c r="AD84" i="6" s="1"/>
  <c r="I5" i="28"/>
  <c r="I27" i="13"/>
  <c r="V21" i="29"/>
  <c r="W21" i="29" s="1"/>
  <c r="X21" i="29" s="1"/>
  <c r="F21" i="29" s="1"/>
  <c r="AD21" i="29" s="1"/>
  <c r="X28" i="29"/>
  <c r="I8" i="13"/>
  <c r="I37" i="13" s="1"/>
  <c r="V6" i="29"/>
  <c r="W6" i="29" s="1"/>
  <c r="X6" i="29" s="1"/>
  <c r="F6" i="29" s="1"/>
  <c r="AD6" i="29" s="1"/>
  <c r="F33" i="29"/>
  <c r="AD33" i="29" s="1"/>
  <c r="AF33" i="29" s="1"/>
  <c r="Z33" i="29"/>
  <c r="V4" i="6"/>
  <c r="W4" i="6" s="1"/>
  <c r="U4" i="6"/>
  <c r="V20" i="6" s="1"/>
  <c r="W20" i="6" s="1"/>
  <c r="X20" i="6" s="1"/>
  <c r="F20" i="6" s="1"/>
  <c r="AD20" i="6" s="1"/>
  <c r="V6" i="6"/>
  <c r="W6" i="6" s="1"/>
  <c r="X6" i="6" s="1"/>
  <c r="F6" i="6" s="1"/>
  <c r="AD6" i="6" s="1"/>
  <c r="E40" i="29"/>
  <c r="T40" i="29" s="1"/>
  <c r="E55" i="6"/>
  <c r="T55" i="6" s="1"/>
  <c r="V26" i="29"/>
  <c r="W26" i="29" s="1"/>
  <c r="X26" i="29" s="1"/>
  <c r="F26" i="29" s="1"/>
  <c r="AD26" i="29" s="1"/>
  <c r="V24" i="29"/>
  <c r="W24" i="29" s="1"/>
  <c r="F59" i="29"/>
  <c r="AD59" i="29" s="1"/>
  <c r="F82" i="6"/>
  <c r="AD82" i="6" s="1"/>
  <c r="V13" i="29"/>
  <c r="W13" i="29" s="1"/>
  <c r="X13" i="29" s="1"/>
  <c r="F13" i="29" s="1"/>
  <c r="AD13" i="29" s="1"/>
  <c r="V31" i="29"/>
  <c r="W31" i="29" s="1"/>
  <c r="X31" i="29" s="1"/>
  <c r="F31" i="29" s="1"/>
  <c r="AD31" i="29" s="1"/>
  <c r="E39" i="6"/>
  <c r="T39" i="6" s="1"/>
  <c r="G15" i="19"/>
  <c r="C20" i="19"/>
  <c r="V18" i="29"/>
  <c r="W18" i="29" s="1"/>
  <c r="X18" i="29" s="1"/>
  <c r="F18" i="29" s="1"/>
  <c r="AD18" i="29" s="1"/>
  <c r="V8" i="6"/>
  <c r="W8" i="6" s="1"/>
  <c r="X8" i="6" s="1"/>
  <c r="F8" i="6" s="1"/>
  <c r="AD8" i="6" s="1"/>
  <c r="V7" i="6"/>
  <c r="W7" i="6" s="1"/>
  <c r="X7" i="6" s="1"/>
  <c r="F7" i="6" s="1"/>
  <c r="AD7" i="6" s="1"/>
  <c r="V17" i="6"/>
  <c r="W17" i="6" s="1"/>
  <c r="X17" i="6" s="1"/>
  <c r="F17" i="6" s="1"/>
  <c r="AD17" i="6" s="1"/>
  <c r="V19" i="6"/>
  <c r="W19" i="6" s="1"/>
  <c r="X19" i="6" s="1"/>
  <c r="F19" i="6" s="1"/>
  <c r="AD19" i="6" s="1"/>
  <c r="AB27" i="6"/>
  <c r="X24" i="6"/>
  <c r="I20" i="13"/>
  <c r="AF97" i="6" l="1"/>
  <c r="D70" i="6" s="1"/>
  <c r="V18" i="6"/>
  <c r="W18" i="6" s="1"/>
  <c r="X18" i="6" s="1"/>
  <c r="F18" i="6" s="1"/>
  <c r="AD18" i="6" s="1"/>
  <c r="Z38" i="6"/>
  <c r="F38" i="6"/>
  <c r="AD38" i="6" s="1"/>
  <c r="AF38" i="6" s="1"/>
  <c r="U39" i="6"/>
  <c r="V39" i="6" s="1"/>
  <c r="W39" i="6" s="1"/>
  <c r="U36" i="29"/>
  <c r="V40" i="29" s="1"/>
  <c r="W40" i="29" s="1"/>
  <c r="X40" i="29" s="1"/>
  <c r="F40" i="29" s="1"/>
  <c r="AD40" i="29" s="1"/>
  <c r="AB31" i="29"/>
  <c r="V23" i="6"/>
  <c r="W23" i="6" s="1"/>
  <c r="X23" i="6" s="1"/>
  <c r="F23" i="6" s="1"/>
  <c r="AD23" i="6" s="1"/>
  <c r="Z31" i="6"/>
  <c r="F108" i="6" s="1"/>
  <c r="F28" i="6"/>
  <c r="V34" i="6"/>
  <c r="W34" i="6" s="1"/>
  <c r="X34" i="6" s="1"/>
  <c r="F34" i="6" s="1"/>
  <c r="AD34" i="6" s="1"/>
  <c r="V37" i="6"/>
  <c r="W37" i="6" s="1"/>
  <c r="X37" i="6" s="1"/>
  <c r="F37" i="6" s="1"/>
  <c r="AD37" i="6" s="1"/>
  <c r="V36" i="6"/>
  <c r="W36" i="6" s="1"/>
  <c r="X36" i="6" s="1"/>
  <c r="F36" i="6" s="1"/>
  <c r="AD36" i="6" s="1"/>
  <c r="V35" i="6"/>
  <c r="W35" i="6" s="1"/>
  <c r="X35" i="6" s="1"/>
  <c r="F35" i="6" s="1"/>
  <c r="AD35" i="6" s="1"/>
  <c r="X24" i="29"/>
  <c r="AB27" i="29"/>
  <c r="F28" i="29"/>
  <c r="AD28" i="29" s="1"/>
  <c r="AE31" i="29" s="1"/>
  <c r="Z31" i="29"/>
  <c r="F80" i="29" s="1"/>
  <c r="U51" i="6"/>
  <c r="V11" i="6"/>
  <c r="W11" i="6" s="1"/>
  <c r="X11" i="6" s="1"/>
  <c r="F11" i="6" s="1"/>
  <c r="AD11" i="6" s="1"/>
  <c r="X4" i="6"/>
  <c r="X33" i="6"/>
  <c r="F24" i="6"/>
  <c r="Z27" i="6"/>
  <c r="F107" i="6" s="1"/>
  <c r="AD107" i="6" s="1"/>
  <c r="V9" i="6"/>
  <c r="W9" i="6" s="1"/>
  <c r="X9" i="6" s="1"/>
  <c r="F9" i="6" s="1"/>
  <c r="AD9" i="6" s="1"/>
  <c r="V16" i="6"/>
  <c r="W16" i="6" s="1"/>
  <c r="X16" i="6" s="1"/>
  <c r="F16" i="6" s="1"/>
  <c r="AD16" i="6" s="1"/>
  <c r="V5" i="6"/>
  <c r="W5" i="6" s="1"/>
  <c r="X5" i="6" s="1"/>
  <c r="F5" i="6" s="1"/>
  <c r="AD5" i="6" s="1"/>
  <c r="V13" i="6"/>
  <c r="W13" i="6" s="1"/>
  <c r="X13" i="6" s="1"/>
  <c r="F13" i="6" s="1"/>
  <c r="AD13" i="6" s="1"/>
  <c r="V21" i="6"/>
  <c r="W21" i="6" s="1"/>
  <c r="X21" i="6" s="1"/>
  <c r="F21" i="6" s="1"/>
  <c r="AD21" i="6" s="1"/>
  <c r="V10" i="6"/>
  <c r="W10" i="6" s="1"/>
  <c r="X10" i="6" s="1"/>
  <c r="F10" i="6" s="1"/>
  <c r="AD10" i="6" s="1"/>
  <c r="X4" i="29"/>
  <c r="AB23" i="29"/>
  <c r="V14" i="6"/>
  <c r="W14" i="6" s="1"/>
  <c r="X14" i="6" s="1"/>
  <c r="F14" i="6" s="1"/>
  <c r="AD14" i="6" s="1"/>
  <c r="V22" i="6"/>
  <c r="W22" i="6" s="1"/>
  <c r="X22" i="6" s="1"/>
  <c r="F22" i="6" s="1"/>
  <c r="AD22" i="6" s="1"/>
  <c r="Z32" i="6"/>
  <c r="F32" i="6"/>
  <c r="AD32" i="6" s="1"/>
  <c r="AF32" i="6" s="1"/>
  <c r="AF69" i="29"/>
  <c r="D54" i="29" s="1"/>
  <c r="X39" i="6" l="1"/>
  <c r="F33" i="6"/>
  <c r="AD33" i="6" s="1"/>
  <c r="AF37" i="6" s="1"/>
  <c r="Z37" i="6"/>
  <c r="F110" i="6"/>
  <c r="AD108" i="6"/>
  <c r="F4" i="29"/>
  <c r="AD4" i="29" s="1"/>
  <c r="F81" i="29"/>
  <c r="AD81" i="29" s="1"/>
  <c r="Z23" i="29"/>
  <c r="AB37" i="6"/>
  <c r="V59" i="6"/>
  <c r="W59" i="6" s="1"/>
  <c r="X59" i="6" s="1"/>
  <c r="F59" i="6" s="1"/>
  <c r="AD59" i="6" s="1"/>
  <c r="V67" i="6"/>
  <c r="W67" i="6" s="1"/>
  <c r="X67" i="6" s="1"/>
  <c r="F67" i="6" s="1"/>
  <c r="AD67" i="6" s="1"/>
  <c r="V51" i="6"/>
  <c r="W51" i="6" s="1"/>
  <c r="X51" i="6" s="1"/>
  <c r="F51" i="6" s="1"/>
  <c r="AD51" i="6" s="1"/>
  <c r="V61" i="6"/>
  <c r="W61" i="6" s="1"/>
  <c r="X61" i="6" s="1"/>
  <c r="F61" i="6" s="1"/>
  <c r="AD61" i="6" s="1"/>
  <c r="V69" i="6"/>
  <c r="W69" i="6" s="1"/>
  <c r="X69" i="6" s="1"/>
  <c r="F69" i="6" s="1"/>
  <c r="AD69" i="6" s="1"/>
  <c r="V63" i="6"/>
  <c r="W63" i="6" s="1"/>
  <c r="X63" i="6" s="1"/>
  <c r="F63" i="6" s="1"/>
  <c r="AD63" i="6" s="1"/>
  <c r="V64" i="6"/>
  <c r="W64" i="6" s="1"/>
  <c r="X64" i="6" s="1"/>
  <c r="F64" i="6" s="1"/>
  <c r="AD64" i="6" s="1"/>
  <c r="V58" i="6"/>
  <c r="W58" i="6" s="1"/>
  <c r="X58" i="6" s="1"/>
  <c r="F58" i="6" s="1"/>
  <c r="AD58" i="6" s="1"/>
  <c r="V56" i="6"/>
  <c r="W56" i="6" s="1"/>
  <c r="X56" i="6" s="1"/>
  <c r="F56" i="6" s="1"/>
  <c r="AD56" i="6" s="1"/>
  <c r="V52" i="6"/>
  <c r="W52" i="6" s="1"/>
  <c r="X52" i="6" s="1"/>
  <c r="F52" i="6" s="1"/>
  <c r="AD52" i="6" s="1"/>
  <c r="V68" i="6"/>
  <c r="W68" i="6" s="1"/>
  <c r="X68" i="6" s="1"/>
  <c r="F68" i="6" s="1"/>
  <c r="AD68" i="6" s="1"/>
  <c r="V65" i="6"/>
  <c r="W65" i="6" s="1"/>
  <c r="X65" i="6" s="1"/>
  <c r="F65" i="6" s="1"/>
  <c r="AD65" i="6" s="1"/>
  <c r="V66" i="6"/>
  <c r="W66" i="6" s="1"/>
  <c r="X66" i="6" s="1"/>
  <c r="F66" i="6" s="1"/>
  <c r="AD66" i="6" s="1"/>
  <c r="V54" i="6"/>
  <c r="W54" i="6" s="1"/>
  <c r="X54" i="6" s="1"/>
  <c r="F54" i="6" s="1"/>
  <c r="AD54" i="6" s="1"/>
  <c r="V57" i="6"/>
  <c r="W57" i="6" s="1"/>
  <c r="X57" i="6" s="1"/>
  <c r="F57" i="6" s="1"/>
  <c r="AD57" i="6" s="1"/>
  <c r="V62" i="6"/>
  <c r="W62" i="6" s="1"/>
  <c r="X62" i="6" s="1"/>
  <c r="F62" i="6" s="1"/>
  <c r="AD62" i="6" s="1"/>
  <c r="V53" i="6"/>
  <c r="W53" i="6" s="1"/>
  <c r="X53" i="6" s="1"/>
  <c r="F53" i="6" s="1"/>
  <c r="AD53" i="6" s="1"/>
  <c r="V60" i="6"/>
  <c r="W60" i="6" s="1"/>
  <c r="X60" i="6" s="1"/>
  <c r="F60" i="6" s="1"/>
  <c r="AD60" i="6" s="1"/>
  <c r="F24" i="29"/>
  <c r="AD24" i="29" s="1"/>
  <c r="AE27" i="29" s="1"/>
  <c r="Z27" i="29"/>
  <c r="F79" i="29" s="1"/>
  <c r="AD79" i="29" s="1"/>
  <c r="V45" i="6"/>
  <c r="W45" i="6" s="1"/>
  <c r="X45" i="6" s="1"/>
  <c r="F45" i="6" s="1"/>
  <c r="AD45" i="6" s="1"/>
  <c r="V48" i="6"/>
  <c r="W48" i="6" s="1"/>
  <c r="X48" i="6" s="1"/>
  <c r="F48" i="6" s="1"/>
  <c r="AD48" i="6" s="1"/>
  <c r="V49" i="6"/>
  <c r="W49" i="6" s="1"/>
  <c r="X49" i="6" s="1"/>
  <c r="F49" i="6" s="1"/>
  <c r="AD49" i="6" s="1"/>
  <c r="V50" i="6"/>
  <c r="W50" i="6" s="1"/>
  <c r="X50" i="6" s="1"/>
  <c r="F50" i="6" s="1"/>
  <c r="AD50" i="6" s="1"/>
  <c r="V44" i="6"/>
  <c r="W44" i="6" s="1"/>
  <c r="X44" i="6" s="1"/>
  <c r="F44" i="6" s="1"/>
  <c r="AD44" i="6" s="1"/>
  <c r="V40" i="6"/>
  <c r="W40" i="6" s="1"/>
  <c r="X40" i="6" s="1"/>
  <c r="F40" i="6" s="1"/>
  <c r="AD40" i="6" s="1"/>
  <c r="V46" i="6"/>
  <c r="W46" i="6" s="1"/>
  <c r="X46" i="6" s="1"/>
  <c r="F46" i="6" s="1"/>
  <c r="AD46" i="6" s="1"/>
  <c r="V41" i="6"/>
  <c r="W41" i="6" s="1"/>
  <c r="X41" i="6" s="1"/>
  <c r="F41" i="6" s="1"/>
  <c r="AD41" i="6" s="1"/>
  <c r="V42" i="6"/>
  <c r="W42" i="6" s="1"/>
  <c r="X42" i="6" s="1"/>
  <c r="F42" i="6" s="1"/>
  <c r="AD42" i="6" s="1"/>
  <c r="AB23" i="6"/>
  <c r="AD80" i="29"/>
  <c r="F82" i="29"/>
  <c r="V43" i="6"/>
  <c r="W43" i="6" s="1"/>
  <c r="X43" i="6" s="1"/>
  <c r="F43" i="6" s="1"/>
  <c r="AD43" i="6" s="1"/>
  <c r="V47" i="6"/>
  <c r="W47" i="6" s="1"/>
  <c r="X47" i="6" s="1"/>
  <c r="F47" i="6" s="1"/>
  <c r="AD47" i="6" s="1"/>
  <c r="AD24" i="6"/>
  <c r="AE27" i="6" s="1"/>
  <c r="AF27" i="6" s="1"/>
  <c r="D7" i="17"/>
  <c r="G7" i="17" s="1"/>
  <c r="F4" i="6"/>
  <c r="Z23" i="6"/>
  <c r="F109" i="6"/>
  <c r="AD109" i="6" s="1"/>
  <c r="AF31" i="29"/>
  <c r="AD28" i="6"/>
  <c r="AE31" i="6" s="1"/>
  <c r="D8" i="17"/>
  <c r="G8" i="17" s="1"/>
  <c r="V41" i="29"/>
  <c r="W41" i="29" s="1"/>
  <c r="X41" i="29" s="1"/>
  <c r="F41" i="29" s="1"/>
  <c r="AD41" i="29" s="1"/>
  <c r="V45" i="29"/>
  <c r="W45" i="29" s="1"/>
  <c r="X45" i="29" s="1"/>
  <c r="F45" i="29" s="1"/>
  <c r="AD45" i="29" s="1"/>
  <c r="V52" i="29"/>
  <c r="W52" i="29" s="1"/>
  <c r="X52" i="29" s="1"/>
  <c r="F52" i="29" s="1"/>
  <c r="AD52" i="29" s="1"/>
  <c r="V43" i="29"/>
  <c r="W43" i="29" s="1"/>
  <c r="X43" i="29" s="1"/>
  <c r="F43" i="29" s="1"/>
  <c r="AD43" i="29" s="1"/>
  <c r="V36" i="29"/>
  <c r="W36" i="29" s="1"/>
  <c r="X36" i="29" s="1"/>
  <c r="F36" i="29" s="1"/>
  <c r="AD36" i="29" s="1"/>
  <c r="V53" i="29"/>
  <c r="W53" i="29" s="1"/>
  <c r="X53" i="29" s="1"/>
  <c r="F53" i="29" s="1"/>
  <c r="AD53" i="29" s="1"/>
  <c r="V51" i="29"/>
  <c r="W51" i="29" s="1"/>
  <c r="X51" i="29" s="1"/>
  <c r="F51" i="29" s="1"/>
  <c r="AD51" i="29" s="1"/>
  <c r="V39" i="29"/>
  <c r="W39" i="29" s="1"/>
  <c r="X39" i="29" s="1"/>
  <c r="F39" i="29" s="1"/>
  <c r="AD39" i="29" s="1"/>
  <c r="V42" i="29"/>
  <c r="W42" i="29" s="1"/>
  <c r="X42" i="29" s="1"/>
  <c r="F42" i="29" s="1"/>
  <c r="AD42" i="29" s="1"/>
  <c r="V37" i="29"/>
  <c r="W37" i="29" s="1"/>
  <c r="X37" i="29" s="1"/>
  <c r="F37" i="29" s="1"/>
  <c r="AD37" i="29" s="1"/>
  <c r="V50" i="29"/>
  <c r="W50" i="29" s="1"/>
  <c r="X50" i="29" s="1"/>
  <c r="F50" i="29" s="1"/>
  <c r="AD50" i="29" s="1"/>
  <c r="V38" i="29"/>
  <c r="W38" i="29" s="1"/>
  <c r="X38" i="29" s="1"/>
  <c r="F38" i="29" s="1"/>
  <c r="AD38" i="29" s="1"/>
  <c r="V48" i="29"/>
  <c r="W48" i="29" s="1"/>
  <c r="X48" i="29" s="1"/>
  <c r="F48" i="29" s="1"/>
  <c r="AD48" i="29" s="1"/>
  <c r="V46" i="29"/>
  <c r="W46" i="29" s="1"/>
  <c r="X46" i="29" s="1"/>
  <c r="F46" i="29" s="1"/>
  <c r="AD46" i="29" s="1"/>
  <c r="V49" i="29"/>
  <c r="W49" i="29" s="1"/>
  <c r="X49" i="29" s="1"/>
  <c r="F49" i="29" s="1"/>
  <c r="AD49" i="29" s="1"/>
  <c r="V44" i="29"/>
  <c r="W44" i="29" s="1"/>
  <c r="X44" i="29" s="1"/>
  <c r="F44" i="29" s="1"/>
  <c r="AD44" i="29" s="1"/>
  <c r="V47" i="29"/>
  <c r="W47" i="29" s="1"/>
  <c r="X47" i="29" s="1"/>
  <c r="F47" i="29" s="1"/>
  <c r="AD47" i="29" s="1"/>
  <c r="V55" i="6"/>
  <c r="W55" i="6" s="1"/>
  <c r="X55" i="6" s="1"/>
  <c r="F55" i="6" s="1"/>
  <c r="AD55" i="6" s="1"/>
  <c r="AF31" i="6" l="1"/>
  <c r="D6" i="17"/>
  <c r="G6" i="17" s="1"/>
  <c r="G9" i="17" s="1"/>
  <c r="AD4" i="6"/>
  <c r="AE23" i="29"/>
  <c r="AF23" i="29" s="1"/>
  <c r="AB50" i="6"/>
  <c r="AF53" i="29"/>
  <c r="AF27" i="29"/>
  <c r="AF69" i="6"/>
  <c r="Z50" i="6"/>
  <c r="F39" i="6"/>
  <c r="AD39" i="6" s="1"/>
  <c r="AF50" i="6" s="1"/>
  <c r="AJ12" i="29" l="1"/>
  <c r="AE23" i="6"/>
  <c r="AF23" i="6" s="1"/>
  <c r="AJ12" i="6" s="1"/>
  <c r="AI12" i="6"/>
  <c r="F88" i="29"/>
  <c r="F116" i="6"/>
  <c r="F117" i="6" s="1"/>
  <c r="F89" i="29" l="1"/>
  <c r="F105" i="6" l="1"/>
  <c r="AD105" i="6" s="1"/>
  <c r="F104" i="6"/>
  <c r="AD104" i="6" s="1"/>
  <c r="F99" i="6"/>
  <c r="F106" i="6"/>
  <c r="F98" i="6"/>
  <c r="F78" i="29"/>
  <c r="F71" i="29"/>
  <c r="F77" i="29"/>
  <c r="AD77" i="29" s="1"/>
  <c r="F70" i="29"/>
  <c r="F76" i="29"/>
  <c r="AD76" i="29" s="1"/>
  <c r="AD78" i="29" l="1"/>
  <c r="AI18" i="29" s="1"/>
  <c r="F83" i="29"/>
  <c r="F72" i="29"/>
  <c r="AD70" i="29"/>
  <c r="F100" i="6"/>
  <c r="AD98" i="6"/>
  <c r="AD106" i="6"/>
  <c r="AI13" i="6" s="1"/>
  <c r="AI14" i="6" s="1"/>
  <c r="F111" i="6"/>
  <c r="AD71" i="29"/>
  <c r="F73" i="29"/>
  <c r="F101" i="6"/>
  <c r="AD99" i="6"/>
  <c r="AI13" i="29" l="1"/>
  <c r="AI18" i="6"/>
  <c r="AI17" i="6"/>
  <c r="AI17" i="29"/>
  <c r="AI19" i="29" s="1"/>
  <c r="AI12" i="29"/>
  <c r="AI14" i="29" s="1"/>
  <c r="AK12" i="29" s="1"/>
  <c r="AI19" i="6" l="1"/>
</calcChain>
</file>

<file path=xl/sharedStrings.xml><?xml version="1.0" encoding="utf-8"?>
<sst xmlns="http://schemas.openxmlformats.org/spreadsheetml/2006/main" count="2163" uniqueCount="620">
  <si>
    <t>ala-L</t>
  </si>
  <si>
    <t>AA</t>
  </si>
  <si>
    <t>arg-L</t>
  </si>
  <si>
    <t>asn-L</t>
  </si>
  <si>
    <t>asp-L</t>
  </si>
  <si>
    <t>cys-L</t>
  </si>
  <si>
    <t>gln-L</t>
  </si>
  <si>
    <t>glu-L</t>
  </si>
  <si>
    <t>gly</t>
  </si>
  <si>
    <t>his-L</t>
  </si>
  <si>
    <t>ile-L</t>
  </si>
  <si>
    <t>leu-L</t>
  </si>
  <si>
    <t>lys-L</t>
  </si>
  <si>
    <t>met-L</t>
  </si>
  <si>
    <t>phe-L</t>
  </si>
  <si>
    <t>pro-L</t>
  </si>
  <si>
    <t>ser-L</t>
  </si>
  <si>
    <t>thr-L</t>
  </si>
  <si>
    <t>trp-L</t>
  </si>
  <si>
    <t>tyr-L</t>
  </si>
  <si>
    <t>val-L</t>
  </si>
  <si>
    <t>ptrc</t>
  </si>
  <si>
    <t>spmd</t>
  </si>
  <si>
    <t>glycogen</t>
  </si>
  <si>
    <t>carbohydrate</t>
  </si>
  <si>
    <t>cofactor</t>
  </si>
  <si>
    <t>accoa</t>
  </si>
  <si>
    <t>coa</t>
  </si>
  <si>
    <t>fad</t>
  </si>
  <si>
    <t>nad</t>
  </si>
  <si>
    <t>nadh</t>
  </si>
  <si>
    <t>nadp</t>
  </si>
  <si>
    <t>nadph</t>
  </si>
  <si>
    <t>succoa</t>
  </si>
  <si>
    <t>datp</t>
  </si>
  <si>
    <t>DNA</t>
  </si>
  <si>
    <t>dctp</t>
  </si>
  <si>
    <t>dgtp</t>
  </si>
  <si>
    <t>dttp</t>
  </si>
  <si>
    <t>lipid</t>
  </si>
  <si>
    <t>ctp</t>
  </si>
  <si>
    <t>RNA</t>
  </si>
  <si>
    <t>gtp</t>
  </si>
  <si>
    <t>utp</t>
  </si>
  <si>
    <t>h2o</t>
  </si>
  <si>
    <t>maint</t>
  </si>
  <si>
    <t>h</t>
  </si>
  <si>
    <t>ppi</t>
  </si>
  <si>
    <t>sum of NTPs and dNTPs</t>
  </si>
  <si>
    <t>murein</t>
  </si>
  <si>
    <t>C</t>
  </si>
  <si>
    <t>H</t>
  </si>
  <si>
    <t>N</t>
  </si>
  <si>
    <t>O</t>
  </si>
  <si>
    <t>P</t>
  </si>
  <si>
    <t>C6H10O5</t>
  </si>
  <si>
    <t>mmol/gDW</t>
  </si>
  <si>
    <t>g/gDW</t>
  </si>
  <si>
    <t>C10H12N5O12P3</t>
  </si>
  <si>
    <t>metabolite</t>
  </si>
  <si>
    <t>type</t>
  </si>
  <si>
    <t>formula</t>
  </si>
  <si>
    <t>C23H34N7O17P3S</t>
  </si>
  <si>
    <t>C10H12N5O10P2</t>
  </si>
  <si>
    <t>C3H7NO2</t>
  </si>
  <si>
    <t>C6H15N4O2</t>
  </si>
  <si>
    <t>C4H8N2O3</t>
  </si>
  <si>
    <t>C4H6NO4</t>
  </si>
  <si>
    <t>C10H12N5O13P3</t>
  </si>
  <si>
    <t>C21H32N7O16P3S</t>
  </si>
  <si>
    <t>C9H12N3O14P3</t>
  </si>
  <si>
    <t>C3H7NO2S</t>
  </si>
  <si>
    <t>C9H12N3O13P3</t>
  </si>
  <si>
    <t>C10H13N2O14P3</t>
  </si>
  <si>
    <t>C27H31N9O15P2</t>
  </si>
  <si>
    <t>C5H10N2O3</t>
  </si>
  <si>
    <t>C5H8NO4</t>
  </si>
  <si>
    <t>C2H5NO2</t>
  </si>
  <si>
    <t>C10H12N5O14P3</t>
  </si>
  <si>
    <t>H2O</t>
  </si>
  <si>
    <t>C6H9N3O2</t>
  </si>
  <si>
    <t>C6H13NO2</t>
  </si>
  <si>
    <t>C6H15N2O2</t>
  </si>
  <si>
    <t>C5H11NO2S</t>
  </si>
  <si>
    <t>C21H26N7O14P2</t>
  </si>
  <si>
    <t>C21H27N7O14P2</t>
  </si>
  <si>
    <t>C21H25N7O17P3</t>
  </si>
  <si>
    <t>C21H26N7O17P3</t>
  </si>
  <si>
    <t>C9H11NO2</t>
  </si>
  <si>
    <t>HO4P</t>
  </si>
  <si>
    <t>HO7P2</t>
  </si>
  <si>
    <t>C5H9NO2</t>
  </si>
  <si>
    <t>C4H14N2</t>
  </si>
  <si>
    <t>C3H7NO3</t>
  </si>
  <si>
    <t>C7H22N3</t>
  </si>
  <si>
    <t>C25H35N7O19P3S</t>
  </si>
  <si>
    <t>C4H9NO3</t>
  </si>
  <si>
    <t>C11H12N2O2</t>
  </si>
  <si>
    <t>C9H11NO3</t>
  </si>
  <si>
    <t>C9H11N2O15P3</t>
  </si>
  <si>
    <t>C5H11NO2</t>
  </si>
  <si>
    <t>S</t>
  </si>
  <si>
    <t>Protein</t>
  </si>
  <si>
    <t>reactants</t>
  </si>
  <si>
    <t>products</t>
  </si>
  <si>
    <t>difference</t>
  </si>
  <si>
    <t>LPS</t>
  </si>
  <si>
    <t>C10H12N5O13P5</t>
  </si>
  <si>
    <t>maintenance</t>
  </si>
  <si>
    <t>sum of AA</t>
  </si>
  <si>
    <t>monomers</t>
  </si>
  <si>
    <t>dimers</t>
  </si>
  <si>
    <t>trimers</t>
  </si>
  <si>
    <t>PMID: 3292521</t>
  </si>
  <si>
    <t>PMID: 10542235</t>
  </si>
  <si>
    <t>overall wt%</t>
  </si>
  <si>
    <t>composition (molar fraction)</t>
  </si>
  <si>
    <t>class</t>
  </si>
  <si>
    <t>final wt%</t>
  </si>
  <si>
    <t>uncrosslinked 4p</t>
  </si>
  <si>
    <t>uncrosslinked 3p</t>
  </si>
  <si>
    <t>mol % in sacculus:</t>
  </si>
  <si>
    <t>peptide length composition</t>
  </si>
  <si>
    <t>overall mol % (metabolite)</t>
  </si>
  <si>
    <t>4p-&gt;4p *</t>
  </si>
  <si>
    <t>4p-&gt;4p-&gt;4p *</t>
  </si>
  <si>
    <t>* all A2pm -&gt; Ala crosslinked</t>
  </si>
  <si>
    <t>murein4p4p</t>
  </si>
  <si>
    <t>murein3p3p</t>
  </si>
  <si>
    <t>MW (mg/mmol)</t>
  </si>
  <si>
    <t>total wt (mg)</t>
  </si>
  <si>
    <t>difference b/w metabolite and structual component</t>
  </si>
  <si>
    <t>MWcorr (mg/mmol)</t>
  </si>
  <si>
    <t>mg (if total 1 mmol)</t>
  </si>
  <si>
    <t>composition (weight fraction)</t>
  </si>
  <si>
    <t>none</t>
  </si>
  <si>
    <t>GC content for E. coli K-12mg1655 (50.8%)</t>
  </si>
  <si>
    <t>murein4px4p</t>
  </si>
  <si>
    <t>murein4px3p</t>
  </si>
  <si>
    <t>murein4px4px4p</t>
  </si>
  <si>
    <t>3p-&gt;4p *</t>
  </si>
  <si>
    <t>murein3px4p</t>
  </si>
  <si>
    <t>C74H114N14O40</t>
  </si>
  <si>
    <t>C68H104N12O38</t>
  </si>
  <si>
    <t>C74H112N14O39</t>
  </si>
  <si>
    <t>C71H107N13O38</t>
  </si>
  <si>
    <t>C111H167N21O58</t>
  </si>
  <si>
    <t>Macromolecule</t>
  </si>
  <si>
    <t>mol fraction:</t>
  </si>
  <si>
    <t>acyl chain length composition</t>
  </si>
  <si>
    <t>16:0</t>
  </si>
  <si>
    <t>16:1</t>
  </si>
  <si>
    <t>18:1</t>
  </si>
  <si>
    <t>pe</t>
  </si>
  <si>
    <t>pg</t>
  </si>
  <si>
    <t>clpn</t>
  </si>
  <si>
    <t>mol fraction</t>
  </si>
  <si>
    <t>pe160</t>
  </si>
  <si>
    <t>pe161</t>
  </si>
  <si>
    <t>pe181</t>
  </si>
  <si>
    <t>pg160</t>
  </si>
  <si>
    <t>pg161</t>
  </si>
  <si>
    <t>pg181</t>
  </si>
  <si>
    <t>clpn160</t>
  </si>
  <si>
    <t>clpn161</t>
  </si>
  <si>
    <t>clpn181</t>
  </si>
  <si>
    <t>soluble pool</t>
  </si>
  <si>
    <t>atp**</t>
  </si>
  <si>
    <t>h2o**</t>
  </si>
  <si>
    <t>mmol/gDW (Calc.)</t>
  </si>
  <si>
    <t>AA difference / maint</t>
  </si>
  <si>
    <t>NT difference / dNT difference</t>
  </si>
  <si>
    <t>ppi**</t>
  </si>
  <si>
    <t>sum of dNTPs</t>
  </si>
  <si>
    <t>sum of NTPs</t>
  </si>
  <si>
    <t>k</t>
  </si>
  <si>
    <t>inorganic ions</t>
  </si>
  <si>
    <t>nh4</t>
  </si>
  <si>
    <t>ca2</t>
  </si>
  <si>
    <t>mg2</t>
  </si>
  <si>
    <t>fe2</t>
  </si>
  <si>
    <t>fe3</t>
  </si>
  <si>
    <t>mn2</t>
  </si>
  <si>
    <t>zn2</t>
  </si>
  <si>
    <t>cl</t>
  </si>
  <si>
    <t>so4</t>
  </si>
  <si>
    <t>K</t>
  </si>
  <si>
    <t>H4N</t>
  </si>
  <si>
    <t>Mg</t>
  </si>
  <si>
    <t>Ca</t>
  </si>
  <si>
    <t>Fe</t>
  </si>
  <si>
    <t>Mn</t>
  </si>
  <si>
    <t>Co</t>
  </si>
  <si>
    <t>cobalt2</t>
  </si>
  <si>
    <t>Zn</t>
  </si>
  <si>
    <t>Cl</t>
  </si>
  <si>
    <t>O4S</t>
  </si>
  <si>
    <t>mobd</t>
  </si>
  <si>
    <t>MoO4</t>
  </si>
  <si>
    <t>C37H70N1O8P1</t>
  </si>
  <si>
    <t>C41H78N1O8P1</t>
  </si>
  <si>
    <t>C38H74O10P1</t>
  </si>
  <si>
    <t>C38H70O10P1</t>
  </si>
  <si>
    <t>C42H78O10P1</t>
  </si>
  <si>
    <t>C73H140O17P2</t>
  </si>
  <si>
    <t>C73H132O17P2</t>
  </si>
  <si>
    <t>C81H148O17P2</t>
  </si>
  <si>
    <t>location</t>
  </si>
  <si>
    <t>cytoplasm</t>
  </si>
  <si>
    <t>periplasm</t>
  </si>
  <si>
    <t>extra-cellular face</t>
  </si>
  <si>
    <t>cytoplasm / periplasm</t>
  </si>
  <si>
    <t>pi**</t>
  </si>
  <si>
    <t>IM - cytoplasmic face</t>
  </si>
  <si>
    <t>IM - periplasmic face</t>
  </si>
  <si>
    <t>OM - periplasmic face</t>
  </si>
  <si>
    <t>OM - extracellulat face</t>
  </si>
  <si>
    <t>the cytoplasmic membrane contains 65 - 75% of the cellular phospholipds, the remainder being in the innter leaflet of the outer membrane.</t>
  </si>
  <si>
    <t>% of total phospholipids</t>
  </si>
  <si>
    <t>% LPS</t>
  </si>
  <si>
    <t>mmol/L</t>
  </si>
  <si>
    <t>g/mol</t>
  </si>
  <si>
    <t xml:space="preserve"> Number of K ions </t>
  </si>
  <si>
    <t> 90,000,000 (200-250 mM)</t>
  </si>
  <si>
    <t xml:space="preserve"> Number of Na ions </t>
  </si>
  <si>
    <t> 2,000,000 (5 mM)</t>
  </si>
  <si>
    <t xml:space="preserve"> Number of Ca ions </t>
  </si>
  <si>
    <t> 2,300,000 (6 mM)</t>
  </si>
  <si>
    <t xml:space="preserve"> Number of Cl ions </t>
  </si>
  <si>
    <t> 2,400,000 (6 mM)</t>
  </si>
  <si>
    <t xml:space="preserve"> Number of Mg ions </t>
  </si>
  <si>
    <t> 4,000,000 (10 mM)</t>
  </si>
  <si>
    <t xml:space="preserve"> Number of Fe ions </t>
  </si>
  <si>
    <t> 7,000,000 (18 mM)</t>
  </si>
  <si>
    <t xml:space="preserve"> Number of PO4 ions </t>
  </si>
  <si>
    <t>na</t>
  </si>
  <si>
    <t>molecules/cell</t>
  </si>
  <si>
    <t>L/gDW</t>
  </si>
  <si>
    <t>Reference</t>
  </si>
  <si>
    <t>NH pg. 721</t>
  </si>
  <si>
    <t>mg / gDW</t>
  </si>
  <si>
    <t>assumed approx same as phosphate</t>
  </si>
  <si>
    <t>assumed to be second most abundant cation (pg 1091 NH)</t>
  </si>
  <si>
    <t>species</t>
  </si>
  <si>
    <t>molar fraction</t>
  </si>
  <si>
    <t>malcoa</t>
  </si>
  <si>
    <t>C24H33N7O19P3S</t>
  </si>
  <si>
    <t>NH pg. 692 - average of values for different growth conditions</t>
  </si>
  <si>
    <t>thf</t>
  </si>
  <si>
    <t>q8h2</t>
  </si>
  <si>
    <t>hemeO</t>
  </si>
  <si>
    <t>enter</t>
  </si>
  <si>
    <t>gthrd</t>
  </si>
  <si>
    <t>adocbl</t>
  </si>
  <si>
    <t>C19H21N7O6</t>
  </si>
  <si>
    <t>C49H56FeN4O5</t>
  </si>
  <si>
    <t>C72H100CoN18O17P</t>
  </si>
  <si>
    <t>thmpp</t>
  </si>
  <si>
    <t>Macromolecular costs</t>
  </si>
  <si>
    <t>wt %</t>
  </si>
  <si>
    <t>total mmols material</t>
  </si>
  <si>
    <t>tot mmol</t>
  </si>
  <si>
    <t>total</t>
  </si>
  <si>
    <t>mmol ~P / mmol</t>
  </si>
  <si>
    <t>10-formyltetrahydrofolate biosynthesis</t>
  </si>
  <si>
    <t>biotin biosynthesis</t>
  </si>
  <si>
    <t>chorismate biosynthesis</t>
  </si>
  <si>
    <t>coenzyme A biosynthesis</t>
  </si>
  <si>
    <t>enterobactin biosynthesis</t>
  </si>
  <si>
    <t>folic acid biosynthesis</t>
  </si>
  <si>
    <t>glutathione biosynthesis</t>
  </si>
  <si>
    <t>lipoate biosynthesis</t>
  </si>
  <si>
    <t>Mo-molybdopterin cofactor biosynthesis</t>
  </si>
  <si>
    <t>nicotinamide adenine dinucleotide biosynthesis</t>
  </si>
  <si>
    <t>pyridoxine biosynthesis</t>
  </si>
  <si>
    <t>S-adenosylmethionine biosynthesis</t>
  </si>
  <si>
    <t>amet</t>
  </si>
  <si>
    <t>vitamin B12 biosynthesis</t>
  </si>
  <si>
    <t>chor</t>
  </si>
  <si>
    <t>riboflavin</t>
  </si>
  <si>
    <t>heme</t>
  </si>
  <si>
    <t>Undecaprenyl pyrophosphate</t>
  </si>
  <si>
    <t>udcpdp</t>
  </si>
  <si>
    <t>biotin</t>
  </si>
  <si>
    <t>chorismate</t>
  </si>
  <si>
    <t>enterobactin</t>
  </si>
  <si>
    <t>folic acid</t>
  </si>
  <si>
    <t>glutathione</t>
  </si>
  <si>
    <t>S-adenosylmethionine</t>
  </si>
  <si>
    <t>vitamin B12</t>
  </si>
  <si>
    <t>Notes</t>
  </si>
  <si>
    <t>abbrev.</t>
  </si>
  <si>
    <t>C55H89O7P2</t>
  </si>
  <si>
    <t>NH pg. 1028 - approximation from amount of lipid I and II in soluable pool</t>
  </si>
  <si>
    <t>coenzyme A (pantothenate)</t>
  </si>
  <si>
    <t>nicotinamide adenine dinucleotide (pyridine nucleotides)</t>
  </si>
  <si>
    <t>riboflavin (flavin nucleotides)</t>
  </si>
  <si>
    <t>ribflv</t>
  </si>
  <si>
    <t>thiamine biosynthesis</t>
  </si>
  <si>
    <t>10-formyltetrahydrofolate</t>
  </si>
  <si>
    <t>10fthf</t>
  </si>
  <si>
    <t>C20H21N7O7</t>
  </si>
  <si>
    <t>C10H8O6</t>
  </si>
  <si>
    <t>C15H23N6O5S</t>
  </si>
  <si>
    <t>C17H20N4O6</t>
  </si>
  <si>
    <t>Vitamins and cofactors</t>
  </si>
  <si>
    <t>undecaprenyl pyrophosphate</t>
  </si>
  <si>
    <t>GO functional category</t>
  </si>
  <si>
    <t>lipoate</t>
  </si>
  <si>
    <t>molybdopterin</t>
  </si>
  <si>
    <t>not in network-biosynthetic pathway not sufficiently characterized</t>
  </si>
  <si>
    <t>thiamine diphosphate</t>
  </si>
  <si>
    <t>C12H16N4O7P2S</t>
  </si>
  <si>
    <t>pyridoxal 5-phosphate</t>
  </si>
  <si>
    <t>pydx5p</t>
  </si>
  <si>
    <t>Ployamines</t>
  </si>
  <si>
    <t>polyamine</t>
  </si>
  <si>
    <t>C8H8NO6P</t>
  </si>
  <si>
    <t>76% pe, 20% pg, cardiolipin and other</t>
  </si>
  <si>
    <t>the inner leaflet of the outer membrane is composed of almost entirely phosphatidylethanolamine</t>
  </si>
  <si>
    <t>fraction of each metabolite in the designated compartment</t>
  </si>
  <si>
    <t>cu2</t>
  </si>
  <si>
    <t>Cu</t>
  </si>
  <si>
    <t>2dmmql</t>
  </si>
  <si>
    <t>mql8</t>
  </si>
  <si>
    <t>2dmmql8</t>
  </si>
  <si>
    <t>quinones</t>
  </si>
  <si>
    <t>C50H72O2</t>
  </si>
  <si>
    <t>C51H74O2</t>
  </si>
  <si>
    <t>adp</t>
  </si>
  <si>
    <t>RNA / maint</t>
  </si>
  <si>
    <t>maintenance / ions</t>
  </si>
  <si>
    <t>in network, but can not be synthesized (see supplementary material)</t>
  </si>
  <si>
    <t>Type</t>
  </si>
  <si>
    <t>Concentration (CCDB)</t>
  </si>
  <si>
    <t>protoheme</t>
  </si>
  <si>
    <t>C39H30FeN4O4</t>
  </si>
  <si>
    <t>sheme</t>
  </si>
  <si>
    <t>C42H36FeN4O16</t>
  </si>
  <si>
    <t>mlthf</t>
  </si>
  <si>
    <t>5mthf</t>
  </si>
  <si>
    <t>C20H21N7O6</t>
  </si>
  <si>
    <t>C20H24N7O6</t>
  </si>
  <si>
    <t>pheme</t>
  </si>
  <si>
    <t>murein5px4p</t>
  </si>
  <si>
    <t>C77H117N15O40</t>
  </si>
  <si>
    <t>kdo2lipid4</t>
  </si>
  <si>
    <t>C84H148N2O37P2</t>
  </si>
  <si>
    <t>GAM (biosynthetic + other) =</t>
  </si>
  <si>
    <t>scaling factor</t>
  </si>
  <si>
    <t>biosynthetic costs =</t>
  </si>
  <si>
    <t>unknown GAM costs =</t>
  </si>
  <si>
    <t xml:space="preserve">Products </t>
  </si>
  <si>
    <t>Quantifiable costs</t>
  </si>
  <si>
    <t>Neidhardt FC, Curtiss R (1996) Escherichia coli and Salmonella : cellular and molecular biology. ASM Press, Washington, D.C.</t>
  </si>
  <si>
    <t>NH</t>
  </si>
  <si>
    <t>References</t>
  </si>
  <si>
    <t>NH2</t>
  </si>
  <si>
    <t>Neidhardt FC, Ingraham JL, Schaechter M (1990) Physiology of the bacterial cell : a molecular approach. Sinauer Associates, Sunderland, Mass.</t>
  </si>
  <si>
    <t>NH2 - pg. 14</t>
  </si>
  <si>
    <t>NH2 - pg. 21</t>
  </si>
  <si>
    <t>Glauner B, Holtje JV, Schwarz U (1988) The composition of the murein of Escherichia coli. J Biol Chem 263: 10088-10095.</t>
  </si>
  <si>
    <t>Schiffer G, Holtje JV (1999) Cloning and characterization of PBP 1C, a third member of the multimodular class A penicillin-binding proteins of Escherichia coli. J Biol Chem 274: 32031-32039.</t>
  </si>
  <si>
    <t>concentration (mM)</t>
  </si>
  <si>
    <t>CCDB</t>
  </si>
  <si>
    <t>CyberCell Database (http://redpoll.pharmacy.ualberta.ca/CCDB/)</t>
  </si>
  <si>
    <t>crosslinked composition:</t>
  </si>
  <si>
    <t>compound name</t>
  </si>
  <si>
    <t>4p = 4-peptide</t>
  </si>
  <si>
    <t>3p = 3-peptide</t>
  </si>
  <si>
    <t>Note: Under certain conditions an appreciable amount of the sacculus can be 3p -&gt; 3p crosslinked</t>
  </si>
  <si>
    <t>Avogadro's number</t>
  </si>
  <si>
    <t>Cell Property</t>
  </si>
  <si>
    <t>Value</t>
  </si>
  <si>
    <t>Total</t>
  </si>
  <si>
    <t>Avearge Cell Aqueous Volume (L/cell)</t>
  </si>
  <si>
    <t>Average Dry Mass (gDW/cell)</t>
  </si>
  <si>
    <t>Average Wet Mass (gWW/cell)</t>
  </si>
  <si>
    <t>NH2 - pg.8</t>
  </si>
  <si>
    <r>
      <t xml:space="preserve">Major vitamins, cofactors and prosthetic groups in </t>
    </r>
    <r>
      <rPr>
        <b/>
        <i/>
        <sz val="10"/>
        <rFont val="Arial"/>
        <family val="2"/>
      </rPr>
      <t>E. coli</t>
    </r>
  </si>
  <si>
    <t>Identified by major biosynthtic product (NH text):</t>
  </si>
  <si>
    <t>major metabolite</t>
  </si>
  <si>
    <t>Identified by 'GO cellular process' (http://www.godatabase.org):</t>
  </si>
  <si>
    <r>
      <t xml:space="preserve">Baba T, Ara T, Hasegawa M, Takai Y, Okumura Y, Baba M, Datsenko KA, Tomita M, Wanner BL, Mori H (2006) Construction of </t>
    </r>
    <r>
      <rPr>
        <i/>
        <sz val="10"/>
        <rFont val="Arial"/>
        <family val="2"/>
      </rPr>
      <t>Escherichia coli</t>
    </r>
    <r>
      <rPr>
        <sz val="10"/>
        <rFont val="Arial"/>
        <family val="2"/>
      </rPr>
      <t xml:space="preserve"> K-12 in-frame, single-gene knockout mutants: the Keio collection. </t>
    </r>
    <r>
      <rPr>
        <i/>
        <sz val="10"/>
        <rFont val="Arial"/>
        <family val="2"/>
      </rPr>
      <t>Mol Syst Biol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2:</t>
    </r>
    <r>
      <rPr>
        <sz val="10"/>
        <rFont val="Arial"/>
        <family val="2"/>
      </rPr>
      <t xml:space="preserve"> 2006.0008.</t>
    </r>
  </si>
  <si>
    <t>Identified from essentiality data (Baba et al):</t>
  </si>
  <si>
    <t>met. considered:</t>
  </si>
  <si>
    <t>Baba et al</t>
  </si>
  <si>
    <t>Maintenance</t>
  </si>
  <si>
    <t>lipid composition:</t>
  </si>
  <si>
    <t>Ref Value</t>
  </si>
  <si>
    <t>Normalized Value</t>
  </si>
  <si>
    <t>total:</t>
  </si>
  <si>
    <t>acyl-chain length abbrev.</t>
  </si>
  <si>
    <t>Notes in NH</t>
  </si>
  <si>
    <t>cellular location</t>
  </si>
  <si>
    <t>-ethanolamine (pe)</t>
  </si>
  <si>
    <t>-glycerol (pg)</t>
  </si>
  <si>
    <t>cardiolipin (clpn)</t>
  </si>
  <si>
    <t>molecular makeup of the phospholipid composition</t>
  </si>
  <si>
    <t>Maintenance Costs</t>
  </si>
  <si>
    <t>NH pg. 96</t>
  </si>
  <si>
    <t>NH pg. 98</t>
  </si>
  <si>
    <t>NH pg. 4, see 'murein' worksheet</t>
  </si>
  <si>
    <t>NH pg. 4, and NH pg 1041 (essentially all laboratory strains of E. coli K-12 lack O-antigen, a rough phenotype), pg 15 NH in table</t>
  </si>
  <si>
    <t>Reactants</t>
  </si>
  <si>
    <t>consistency check</t>
  </si>
  <si>
    <t>NH pg. 4</t>
  </si>
  <si>
    <t>NH pg. 21, see 'ion' worksheet</t>
  </si>
  <si>
    <t>Schiffer et al</t>
  </si>
  <si>
    <t>NH -pg. 49</t>
  </si>
  <si>
    <t>Glauner et al, Schiffer et al, NH</t>
  </si>
  <si>
    <t>Glauner et al</t>
  </si>
  <si>
    <t>Glauner et al, Schiffer et al</t>
  </si>
  <si>
    <t xml:space="preserve"> </t>
  </si>
  <si>
    <t>WT BOF</t>
  </si>
  <si>
    <t>Equation</t>
  </si>
  <si>
    <t>Worksheet</t>
  </si>
  <si>
    <t>biomass_WT</t>
  </si>
  <si>
    <t>biomass_core</t>
  </si>
  <si>
    <t>soluble_pool</t>
  </si>
  <si>
    <t>ion</t>
  </si>
  <si>
    <t>lipids</t>
  </si>
  <si>
    <t>this worksheet contains the work used to derive the core biomass objective function (BOFcore). This spreadsheet was baded of the biomass_WT spreadsheet and ORF essentiality data (see methods). Each column is labeled for content.</t>
  </si>
  <si>
    <t>btn</t>
  </si>
  <si>
    <t>PMID: 20937134</t>
  </si>
  <si>
    <t>C10H15N2O3S</t>
  </si>
  <si>
    <t>* rounded up to 0.000002</t>
  </si>
  <si>
    <t>2fe2s</t>
  </si>
  <si>
    <t>4fe4s</t>
  </si>
  <si>
    <t>S2Fe2</t>
  </si>
  <si>
    <t>S4Fe4</t>
  </si>
  <si>
    <t>Number of [2Fe-2S] clusters</t>
  </si>
  <si>
    <t>Number of [4Fe-4S] clusters</t>
  </si>
  <si>
    <t>Number of proteins per cell</t>
  </si>
  <si>
    <t>NH ch. 3</t>
  </si>
  <si>
    <t>Number of Fe-S clusters per cell</t>
  </si>
  <si>
    <t>5% of all proteins estimated to have Fe-S clusters, 90% of those are [4Fe-4S]</t>
  </si>
  <si>
    <t xml:space="preserve">PMID: 16547473 </t>
  </si>
  <si>
    <t>[4Fe-4S]</t>
  </si>
  <si>
    <t>[2Fe-2S]</t>
  </si>
  <si>
    <t>mM</t>
  </si>
  <si>
    <t>11,750 (0.03 mM)</t>
  </si>
  <si>
    <t>105,750 (0.3 mM)</t>
  </si>
  <si>
    <t>other numbers:</t>
  </si>
  <si>
    <t>Ni</t>
  </si>
  <si>
    <t>Mo</t>
  </si>
  <si>
    <t>1 uM (EcoSal module 3.6.3.13)</t>
  </si>
  <si>
    <t>V</t>
  </si>
  <si>
    <t>As</t>
  </si>
  <si>
    <t>Pb</t>
  </si>
  <si>
    <t>Cd</t>
  </si>
  <si>
    <t>U</t>
  </si>
  <si>
    <t>Na</t>
  </si>
  <si>
    <t>PO4</t>
  </si>
  <si>
    <t>NH4</t>
  </si>
  <si>
    <t>SO4</t>
  </si>
  <si>
    <t>bmocogdp</t>
  </si>
  <si>
    <t>* matches Neidhardt number</t>
  </si>
  <si>
    <t>mocogdp</t>
  </si>
  <si>
    <t>mococdp</t>
  </si>
  <si>
    <t>Cvetkovic</t>
  </si>
  <si>
    <t>Cvetkovic et al. Microbial metalloproteomes are largely uncharactertized. Nature 466(7307): 779-82. Aug 5 2010.  (PMID: 20639861)</t>
  </si>
  <si>
    <t>Percentage of Cu</t>
  </si>
  <si>
    <t>Percentage of Mn</t>
  </si>
  <si>
    <t>Percentage of Zn</t>
  </si>
  <si>
    <t>Percentage of Mo</t>
  </si>
  <si>
    <t>Percentage of Co</t>
  </si>
  <si>
    <t>Percentage of Ni</t>
  </si>
  <si>
    <t>ni2</t>
  </si>
  <si>
    <t>3.5 uMol/g protein (PMID 1804764)</t>
  </si>
  <si>
    <t>N/A</t>
  </si>
  <si>
    <t>bmocogdp is primary form of molybdenum cofactor, assume 85%, 5% each for other forms</t>
  </si>
  <si>
    <t>adjusted for moco</t>
  </si>
  <si>
    <t>metal ion</t>
  </si>
  <si>
    <t>percentage</t>
  </si>
  <si>
    <t>Fe-S cluster calculations</t>
  </si>
  <si>
    <t>Molybdenum cofactor calculations</t>
  </si>
  <si>
    <t>percentage of total Mo</t>
  </si>
  <si>
    <t>* concentrations based on 18 mM Fe as 86.98% of total metal ion content</t>
  </si>
  <si>
    <t>see 'ion' worksheet</t>
  </si>
  <si>
    <t>C40H44N20O27P4S4Mo</t>
  </si>
  <si>
    <t>C20H22N10O15P2S2Mo</t>
  </si>
  <si>
    <t>Cvetkovic metalloproteome paper (20639861)</t>
  </si>
  <si>
    <t>Number of G+C bases</t>
  </si>
  <si>
    <t>chromosome</t>
  </si>
  <si>
    <t>plasmid</t>
  </si>
  <si>
    <t>Name</t>
  </si>
  <si>
    <t>clpn140</t>
  </si>
  <si>
    <t>gm1lipa</t>
  </si>
  <si>
    <t>pe140</t>
  </si>
  <si>
    <t>pg140</t>
  </si>
  <si>
    <t>weight %</t>
  </si>
  <si>
    <t>weight % reference</t>
  </si>
  <si>
    <t>molar breakdown</t>
  </si>
  <si>
    <t>assumed - E. coli</t>
  </si>
  <si>
    <t>Lipid</t>
  </si>
  <si>
    <t>lipid chains per molecule</t>
  </si>
  <si>
    <t>molecules in cell</t>
  </si>
  <si>
    <t>total chains</t>
  </si>
  <si>
    <t>OM OL</t>
  </si>
  <si>
    <t>IM / OM IL</t>
  </si>
  <si>
    <t>Table 1. Ch 3 - NH</t>
  </si>
  <si>
    <t>ions / cofactors / mets</t>
  </si>
  <si>
    <t>Total Lipid</t>
  </si>
  <si>
    <t>full profile breakdown (from E coli)</t>
  </si>
  <si>
    <t>adopted Geobacter measurements</t>
  </si>
  <si>
    <t>adopted measurements</t>
  </si>
  <si>
    <t>adopted scaled meadurements</t>
  </si>
  <si>
    <t>PMID: 16461711</t>
  </si>
  <si>
    <t>PMID: 16461712</t>
  </si>
  <si>
    <t>PMID: 16461713</t>
  </si>
  <si>
    <t>PMID: 16461714</t>
  </si>
  <si>
    <t>assumed - E. coli, total carbohyrates measured in PMID: 16461711, but breakdown was not presented.</t>
  </si>
  <si>
    <t>PMID: 19473543</t>
  </si>
  <si>
    <t>The lipids measured in Geobacter sulfurreducens for the 2006 metabolic recontruction (PMID: 16461711) was total lipids.</t>
  </si>
  <si>
    <t>The breakdown of lipids between LPS and glycerophospholipds in E coli, from Neidhardt book was used to determine membrane lipids.</t>
  </si>
  <si>
    <t>This value was not used for LPS as the sugar molecular weight was not given.</t>
  </si>
  <si>
    <t>Ch 3. Chemical composition of Escherichia coli. In: F. C. Neidhardt, Editor, Escherichia coli and Salmonella typhimurium, Cellular and Molecular Biology</t>
  </si>
  <si>
    <t>C142H253N3O65P2</t>
  </si>
  <si>
    <t>G. metallireducens WT Biomass Objective Function</t>
  </si>
  <si>
    <t>Phopspholipds of log-phase Ec grown at 37C contain about 45% 16:0, 35% 16:1, and 18% 18:1.  In most bacteria, Phosphatidylserine is a minor membrane lipid, although it is important as an intermediate in phosphatidylethanolamine biosynthesis. (http://lipidlibrary.aocs.org/lipids/ps/index.htm)</t>
  </si>
  <si>
    <t>PMID: 18846396</t>
  </si>
  <si>
    <t>14:0</t>
  </si>
  <si>
    <t>PMID: 18846397</t>
  </si>
  <si>
    <t>PMID: 18846398</t>
  </si>
  <si>
    <t>PMID: 18846399</t>
  </si>
  <si>
    <t>J Ind Microbiol Biotechnol. 2009 Feb;36(2):205-9. Polar lipid fatty acids, LPS-hydroxy fatty acids, and respiratory quinones of three Geobacter strains, and variation with electron acceptor. Hedrick DB, Peacock AD, Lovley DR, Woodard TL, Nevin KP, Long PE, White DC.</t>
  </si>
  <si>
    <t>C37H74N1O8P2</t>
  </si>
  <si>
    <t>see 'lipid' worksheet</t>
  </si>
  <si>
    <t>C33H66N1O8P1</t>
  </si>
  <si>
    <t>C34H66O10P1</t>
  </si>
  <si>
    <t>C65H124O17P2</t>
  </si>
  <si>
    <r>
      <t xml:space="preserve">DNA composition in </t>
    </r>
    <r>
      <rPr>
        <b/>
        <i/>
        <sz val="10"/>
        <rFont val="Arial"/>
        <family val="2"/>
      </rPr>
      <t>G. metallireducens</t>
    </r>
  </si>
  <si>
    <t>G. metallireducens core Biomass Objective Function</t>
  </si>
  <si>
    <t>scalin</t>
  </si>
  <si>
    <t>ARG</t>
  </si>
  <si>
    <t>cyt</t>
  </si>
  <si>
    <t>peri</t>
  </si>
  <si>
    <t>breakdown</t>
  </si>
  <si>
    <t>text in red was idenfitied in E coli, but was deteremined not to be present in G. metallireducens.</t>
  </si>
  <si>
    <t>Ion composition</t>
  </si>
  <si>
    <t>Soluable Pool</t>
  </si>
  <si>
    <t>Murein composition</t>
  </si>
  <si>
    <t>Lipid composition</t>
  </si>
  <si>
    <t>Analysis of Macromolecular content for G. metallireducens</t>
  </si>
  <si>
    <t>this worksheet contains the spreadsheet used to determine the dry cell weight wild-type content based on macromolecular content. Thi data was used to form the wild-type biomass objective function (BOFwt).  Each column is labeled for content.</t>
  </si>
  <si>
    <t>contains the table used to calculate cellular maintenance costs and lists references where data was acquired</t>
  </si>
  <si>
    <t>contains tables and references used to determine the souable pool (cofactors, etc.) content</t>
  </si>
  <si>
    <t>contains tables and references used to determine the ion content</t>
  </si>
  <si>
    <t>contains tables and references used to determine the murein (cell wall) content</t>
  </si>
  <si>
    <t>contains tables and references used to determine the lipid content</t>
  </si>
  <si>
    <t>contains table to determine the DNA content</t>
  </si>
  <si>
    <t>macromolecular</t>
  </si>
  <si>
    <t>analysis of the macromolecular content used in the Biomass Objective Functions</t>
  </si>
  <si>
    <t>pp</t>
  </si>
  <si>
    <t>e</t>
  </si>
  <si>
    <t>c</t>
  </si>
  <si>
    <t>BOF_lists</t>
  </si>
  <si>
    <t>lists of the metabolites and qunatities in each of the BOFs</t>
  </si>
  <si>
    <t>functional_testing</t>
  </si>
  <si>
    <t>the BOF metabolites that could not initially be generated by the reconstructed network and the reactions and associated genes that were added to the network to satisfy these deficiencies.</t>
  </si>
  <si>
    <t>BOF components that initially could not be made</t>
  </si>
  <si>
    <t>biomass component</t>
  </si>
  <si>
    <t>reactions added to the netwok</t>
  </si>
  <si>
    <t>means by which the biomass component was made</t>
  </si>
  <si>
    <t>CUabcpp</t>
  </si>
  <si>
    <t>manual</t>
  </si>
  <si>
    <t>FE3Gabcpp</t>
  </si>
  <si>
    <t>PMDPHT</t>
  </si>
  <si>
    <t>SMILEY</t>
  </si>
  <si>
    <t>DM_AMOB</t>
  </si>
  <si>
    <t>CRESt2ipp</t>
  </si>
  <si>
    <t>SMILEY and manual</t>
  </si>
  <si>
    <t>DALAt2pp</t>
  </si>
  <si>
    <t>GLYCtpp</t>
  </si>
  <si>
    <t>ALAALAabcpp</t>
  </si>
  <si>
    <t>fad, ribflv</t>
  </si>
  <si>
    <t>mql8, pheme</t>
  </si>
  <si>
    <t>clpn140, clpn160, clpn161, clpn181</t>
  </si>
  <si>
    <t>Confidence</t>
  </si>
  <si>
    <t>Subsystem</t>
  </si>
  <si>
    <t>Gene</t>
  </si>
  <si>
    <t>Copper transport via ABC system (periplasm)</t>
  </si>
  <si>
    <t>atp[c] + cu2[p] + h2o[c] --&gt; adp[c] + cu2[c] + h[c] + pi[c]</t>
  </si>
  <si>
    <t>Transport, Inner Membrane</t>
  </si>
  <si>
    <t>Gmet_0493, Gmet_0492, Gmet_0491</t>
  </si>
  <si>
    <t>ZnuA+ZnuB+ZnuC</t>
  </si>
  <si>
    <t>iron (III) transport via ABC system (GTP) (periplasm)</t>
  </si>
  <si>
    <t>fe3[p] + gtp[c] + h2o[c] --&gt; fe3[c] + gdp[c] + h[c] + pi[c]</t>
  </si>
  <si>
    <t>Gmet_2444</t>
  </si>
  <si>
    <t>FeoB1</t>
  </si>
  <si>
    <t>pyrimidine phosphatase</t>
  </si>
  <si>
    <t>[c] : 5aprbu + h2o --&gt; 4r5au + pi</t>
  </si>
  <si>
    <t>Vitamins &amp; Cofactor Biosynthesis</t>
  </si>
  <si>
    <t>5DOAN</t>
  </si>
  <si>
    <t>5'-deoxyadenosine nuclosidase</t>
  </si>
  <si>
    <t>[c] : dad-5 + h2o --&gt; 5drib + ade</t>
  </si>
  <si>
    <t>DM_5DRIB</t>
  </si>
  <si>
    <t>compartment of the cell that the biomass componenet(s) is located</t>
  </si>
  <si>
    <t>p-cresol transport out via proton antiport (periplasm)</t>
  </si>
  <si>
    <t>4crsol[c] + h[p] --&gt; 4crsol[p] + h[c]</t>
  </si>
  <si>
    <t>D-alanine transport in via proton symport (periplasm)</t>
  </si>
  <si>
    <t>ala-D[p] + h[p] --&gt; ala-D[c] + h[c]</t>
  </si>
  <si>
    <t>glycerol transport via channel (periplasm)</t>
  </si>
  <si>
    <t>glyc[c] &lt;==&gt; glyc[p]</t>
  </si>
  <si>
    <t>D-alanyl-D-alanine (DalaDala) transport via ABC system (periplasm)</t>
  </si>
  <si>
    <t>alaala[p] + atp[c] + h2o[c] --&gt; adp[c] + alaala[c] + h[c] + pi[c]</t>
  </si>
  <si>
    <t>Sink needed to allow 5'-deoxyribose to leave system</t>
  </si>
  <si>
    <t>[c] : 5drib --&gt;</t>
  </si>
  <si>
    <t>Sink needed to allow S-Adenosyl-4-methylthio-2-oxobutanoate to leave system</t>
  </si>
  <si>
    <t>[c] : amob --&gt;</t>
  </si>
  <si>
    <t>Unknown Degradation</t>
  </si>
  <si>
    <t>compart.</t>
  </si>
  <si>
    <t>adjusted for Fe in Fe-S clusters, combined with fe3</t>
  </si>
  <si>
    <t>Core BOF</t>
  </si>
  <si>
    <t>periplasm / cytoplasm breakdown</t>
  </si>
  <si>
    <t>Geobacter metallireducens biomass objective function (iAF987) - WT - with 79.20 GAM estimate</t>
  </si>
  <si>
    <t>Gm_biomass_GS15_WT_79p20M</t>
  </si>
  <si>
    <t>Geobacter metallireducens biomass objective function (iAF987) - core - with 79.20 GAM estimate</t>
  </si>
  <si>
    <t>Gm_biomass_GS15_core_79p20M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</si>
</sst>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E+00"/>
    <numFmt numFmtId="165" formatCode="0.0000"/>
    <numFmt numFmtId="166" formatCode="0.00000"/>
    <numFmt numFmtId="167" formatCode="0.000"/>
    <numFmt numFmtId="168" formatCode="0.000000"/>
    <numFmt numFmtId="169" formatCode="0.0%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color rgb="FF00B050"/>
      <name val="Calibri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6" tint="-0.249977111117893"/>
      <name val="Arial"/>
      <family val="2"/>
    </font>
    <font>
      <sz val="10"/>
      <color theme="4" tint="-0.249977111117893"/>
      <name val="Arial"/>
      <family val="2"/>
    </font>
    <font>
      <sz val="10"/>
      <color theme="9" tint="-0.249977111117893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i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2" fillId="0" borderId="0"/>
    <xf numFmtId="0" fontId="1" fillId="0" borderId="0"/>
  </cellStyleXfs>
  <cellXfs count="420">
    <xf numFmtId="0" fontId="0" fillId="0" borderId="0" xfId="0"/>
    <xf numFmtId="0" fontId="4" fillId="0" borderId="0" xfId="0" applyFont="1"/>
    <xf numFmtId="0" fontId="2" fillId="0" borderId="0" xfId="0" applyFont="1" applyFill="1"/>
    <xf numFmtId="0" fontId="2" fillId="0" borderId="0" xfId="0" applyFont="1"/>
    <xf numFmtId="0" fontId="0" fillId="0" borderId="0" xfId="0" applyFill="1"/>
    <xf numFmtId="0" fontId="0" fillId="4" borderId="0" xfId="0" applyFill="1"/>
    <xf numFmtId="0" fontId="0" fillId="0" borderId="0" xfId="0" applyAlignment="1">
      <alignment horizontal="center"/>
    </xf>
    <xf numFmtId="167" fontId="0" fillId="0" borderId="0" xfId="0" applyNumberFormat="1"/>
    <xf numFmtId="167" fontId="0" fillId="0" borderId="0" xfId="0" applyNumberFormat="1" applyFill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5" borderId="0" xfId="0" applyFill="1"/>
    <xf numFmtId="20" fontId="0" fillId="0" borderId="0" xfId="0" quotePrefix="1" applyNumberFormat="1"/>
    <xf numFmtId="167" fontId="0" fillId="0" borderId="0" xfId="0" applyNumberFormat="1" applyAlignment="1">
      <alignment horizontal="center"/>
    </xf>
    <xf numFmtId="0" fontId="0" fillId="0" borderId="0" xfId="0" quotePrefix="1"/>
    <xf numFmtId="0" fontId="0" fillId="0" borderId="0" xfId="0" applyFill="1" applyBorder="1"/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/>
    <xf numFmtId="0" fontId="2" fillId="0" borderId="0" xfId="0" applyFont="1" applyFill="1" applyBorder="1"/>
    <xf numFmtId="168" fontId="0" fillId="0" borderId="0" xfId="0" applyNumberFormat="1" applyFill="1" applyBorder="1"/>
    <xf numFmtId="168" fontId="0" fillId="0" borderId="0" xfId="0" applyNumberFormat="1"/>
    <xf numFmtId="166" fontId="0" fillId="0" borderId="0" xfId="0" applyNumberFormat="1" applyAlignment="1">
      <alignment horizontal="center"/>
    </xf>
    <xf numFmtId="10" fontId="0" fillId="0" borderId="0" xfId="0" applyNumberFormat="1"/>
    <xf numFmtId="10" fontId="0" fillId="0" borderId="0" xfId="0" applyNumberFormat="1" applyFill="1"/>
    <xf numFmtId="0" fontId="8" fillId="0" borderId="0" xfId="0" applyFont="1"/>
    <xf numFmtId="0" fontId="9" fillId="0" borderId="0" xfId="0" applyFont="1"/>
    <xf numFmtId="0" fontId="9" fillId="0" borderId="0" xfId="0" applyFont="1" applyFill="1"/>
    <xf numFmtId="0" fontId="0" fillId="0" borderId="0" xfId="0" applyFill="1" applyAlignment="1">
      <alignment horizontal="center" vertical="center" wrapText="1"/>
    </xf>
    <xf numFmtId="164" fontId="0" fillId="0" borderId="0" xfId="0" applyNumberFormat="1" applyFill="1"/>
    <xf numFmtId="0" fontId="5" fillId="0" borderId="0" xfId="0" applyFont="1" applyFill="1"/>
    <xf numFmtId="0" fontId="0" fillId="0" borderId="0" xfId="0" quotePrefix="1" applyFill="1"/>
    <xf numFmtId="0" fontId="11" fillId="0" borderId="0" xfId="0" applyFont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8" fillId="0" borderId="1" xfId="0" applyFont="1" applyBorder="1"/>
    <xf numFmtId="0" fontId="9" fillId="0" borderId="1" xfId="0" applyFont="1" applyBorder="1"/>
    <xf numFmtId="166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left"/>
    </xf>
    <xf numFmtId="168" fontId="0" fillId="0" borderId="1" xfId="0" applyNumberFormat="1" applyFill="1" applyBorder="1"/>
    <xf numFmtId="0" fontId="0" fillId="0" borderId="1" xfId="0" applyFill="1" applyBorder="1"/>
    <xf numFmtId="166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1" xfId="0" applyFont="1" applyBorder="1"/>
    <xf numFmtId="11" fontId="0" fillId="0" borderId="1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1" fontId="0" fillId="0" borderId="1" xfId="0" applyNumberFormat="1" applyBorder="1" applyAlignment="1">
      <alignment horizontal="center"/>
    </xf>
    <xf numFmtId="0" fontId="9" fillId="0" borderId="1" xfId="0" applyFont="1" applyFill="1" applyBorder="1"/>
    <xf numFmtId="0" fontId="11" fillId="0" borderId="0" xfId="0" applyFont="1" applyFill="1"/>
    <xf numFmtId="0" fontId="0" fillId="0" borderId="0" xfId="0" applyBorder="1"/>
    <xf numFmtId="0" fontId="0" fillId="0" borderId="1" xfId="0" applyFill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164" fontId="0" fillId="0" borderId="1" xfId="0" applyNumberFormat="1" applyFill="1" applyBorder="1"/>
    <xf numFmtId="0" fontId="0" fillId="0" borderId="2" xfId="0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64" fontId="0" fillId="0" borderId="4" xfId="0" applyNumberFormat="1" applyFill="1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9" fillId="0" borderId="7" xfId="0" applyFont="1" applyBorder="1" applyAlignment="1">
      <alignment horizontal="right"/>
    </xf>
    <xf numFmtId="16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10" xfId="0" applyFont="1" applyBorder="1"/>
    <xf numFmtId="0" fontId="8" fillId="0" borderId="11" xfId="0" applyFont="1" applyBorder="1" applyAlignment="1">
      <alignment horizontal="center"/>
    </xf>
    <xf numFmtId="0" fontId="11" fillId="0" borderId="11" xfId="0" applyFont="1" applyBorder="1"/>
    <xf numFmtId="0" fontId="11" fillId="0" borderId="3" xfId="0" applyFont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9" fillId="0" borderId="16" xfId="0" applyFont="1" applyBorder="1"/>
    <xf numFmtId="0" fontId="0" fillId="0" borderId="15" xfId="0" applyBorder="1" applyAlignment="1">
      <alignment horizontal="center"/>
    </xf>
    <xf numFmtId="0" fontId="9" fillId="0" borderId="16" xfId="0" applyFont="1" applyBorder="1" applyAlignment="1">
      <alignment horizontal="left"/>
    </xf>
    <xf numFmtId="0" fontId="0" fillId="0" borderId="17" xfId="0" applyBorder="1"/>
    <xf numFmtId="0" fontId="0" fillId="0" borderId="15" xfId="0" applyBorder="1"/>
    <xf numFmtId="0" fontId="11" fillId="0" borderId="5" xfId="0" applyFont="1" applyBorder="1" applyAlignment="1">
      <alignment horizontal="right"/>
    </xf>
    <xf numFmtId="167" fontId="0" fillId="0" borderId="0" xfId="0" applyNumberFormat="1" applyBorder="1"/>
    <xf numFmtId="0" fontId="0" fillId="0" borderId="5" xfId="0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 applyAlignment="1"/>
    <xf numFmtId="0" fontId="9" fillId="0" borderId="5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0" fillId="0" borderId="5" xfId="0" applyBorder="1" applyAlignment="1">
      <alignment horizontal="right"/>
    </xf>
    <xf numFmtId="0" fontId="9" fillId="5" borderId="0" xfId="0" applyFont="1" applyFill="1" applyBorder="1" applyAlignment="1">
      <alignment horizontal="center"/>
    </xf>
    <xf numFmtId="0" fontId="9" fillId="0" borderId="15" xfId="0" applyFont="1" applyBorder="1"/>
    <xf numFmtId="0" fontId="0" fillId="2" borderId="0" xfId="0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9" fillId="0" borderId="18" xfId="0" applyFont="1" applyBorder="1"/>
    <xf numFmtId="0" fontId="11" fillId="0" borderId="1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3" xfId="0" applyBorder="1"/>
    <xf numFmtId="0" fontId="0" fillId="0" borderId="12" xfId="0" applyBorder="1" applyAlignment="1">
      <alignment horizontal="right"/>
    </xf>
    <xf numFmtId="0" fontId="0" fillId="0" borderId="4" xfId="0" applyBorder="1"/>
    <xf numFmtId="0" fontId="2" fillId="0" borderId="0" xfId="0" applyFont="1" applyBorder="1" applyAlignment="1">
      <alignment horizontal="center"/>
    </xf>
    <xf numFmtId="0" fontId="2" fillId="0" borderId="15" xfId="0" applyFont="1" applyBorder="1"/>
    <xf numFmtId="0" fontId="6" fillId="0" borderId="12" xfId="0" applyFont="1" applyBorder="1"/>
    <xf numFmtId="0" fontId="12" fillId="0" borderId="4" xfId="0" applyFont="1" applyBorder="1"/>
    <xf numFmtId="0" fontId="0" fillId="0" borderId="12" xfId="0" applyBorder="1"/>
    <xf numFmtId="0" fontId="2" fillId="0" borderId="4" xfId="0" applyFont="1" applyFill="1" applyBorder="1"/>
    <xf numFmtId="0" fontId="7" fillId="0" borderId="5" xfId="0" applyFont="1" applyBorder="1"/>
    <xf numFmtId="0" fontId="11" fillId="0" borderId="5" xfId="0" applyFont="1" applyBorder="1"/>
    <xf numFmtId="0" fontId="11" fillId="0" borderId="13" xfId="0" applyFont="1" applyBorder="1"/>
    <xf numFmtId="0" fontId="0" fillId="0" borderId="18" xfId="0" applyBorder="1"/>
    <xf numFmtId="0" fontId="8" fillId="0" borderId="11" xfId="0" applyFont="1" applyBorder="1"/>
    <xf numFmtId="0" fontId="8" fillId="0" borderId="3" xfId="0" applyFont="1" applyBorder="1"/>
    <xf numFmtId="0" fontId="0" fillId="0" borderId="7" xfId="0" applyBorder="1"/>
    <xf numFmtId="0" fontId="0" fillId="0" borderId="8" xfId="0" applyBorder="1"/>
    <xf numFmtId="0" fontId="11" fillId="0" borderId="8" xfId="0" applyFont="1" applyBorder="1" applyAlignment="1">
      <alignment horizontal="right"/>
    </xf>
    <xf numFmtId="0" fontId="0" fillId="0" borderId="8" xfId="0" applyFill="1" applyBorder="1"/>
    <xf numFmtId="0" fontId="0" fillId="0" borderId="9" xfId="0" applyBorder="1"/>
    <xf numFmtId="0" fontId="9" fillId="0" borderId="10" xfId="0" applyFont="1" applyBorder="1"/>
    <xf numFmtId="0" fontId="9" fillId="0" borderId="11" xfId="0" applyFont="1" applyBorder="1"/>
    <xf numFmtId="0" fontId="9" fillId="0" borderId="3" xfId="0" applyFont="1" applyBorder="1"/>
    <xf numFmtId="0" fontId="13" fillId="0" borderId="12" xfId="0" applyFont="1" applyBorder="1"/>
    <xf numFmtId="10" fontId="0" fillId="0" borderId="4" xfId="0" applyNumberFormat="1" applyBorder="1"/>
    <xf numFmtId="0" fontId="0" fillId="0" borderId="12" xfId="0" applyFill="1" applyBorder="1" applyAlignment="1">
      <alignment horizontal="left"/>
    </xf>
    <xf numFmtId="10" fontId="0" fillId="0" borderId="4" xfId="0" applyNumberFormat="1" applyFill="1" applyBorder="1"/>
    <xf numFmtId="0" fontId="0" fillId="0" borderId="12" xfId="0" applyBorder="1" applyAlignment="1">
      <alignment horizontal="left"/>
    </xf>
    <xf numFmtId="10" fontId="2" fillId="0" borderId="4" xfId="0" applyNumberFormat="1" applyFont="1" applyFill="1" applyBorder="1"/>
    <xf numFmtId="0" fontId="11" fillId="0" borderId="8" xfId="0" applyFont="1" applyBorder="1"/>
    <xf numFmtId="10" fontId="0" fillId="0" borderId="9" xfId="0" applyNumberFormat="1" applyBorder="1"/>
    <xf numFmtId="0" fontId="0" fillId="0" borderId="2" xfId="0" applyBorder="1"/>
    <xf numFmtId="0" fontId="11" fillId="0" borderId="12" xfId="0" applyFont="1" applyBorder="1"/>
    <xf numFmtId="0" fontId="11" fillId="0" borderId="12" xfId="0" applyFont="1" applyFill="1" applyBorder="1"/>
    <xf numFmtId="0" fontId="0" fillId="0" borderId="0" xfId="0" applyFill="1" applyBorder="1" applyAlignment="1">
      <alignment horizontal="left"/>
    </xf>
    <xf numFmtId="0" fontId="9" fillId="0" borderId="12" xfId="0" applyFont="1" applyBorder="1"/>
    <xf numFmtId="0" fontId="8" fillId="0" borderId="12" xfId="0" applyFont="1" applyBorder="1"/>
    <xf numFmtId="0" fontId="8" fillId="0" borderId="4" xfId="0" applyFont="1" applyBorder="1"/>
    <xf numFmtId="0" fontId="9" fillId="0" borderId="4" xfId="0" applyFont="1" applyBorder="1"/>
    <xf numFmtId="0" fontId="2" fillId="0" borderId="12" xfId="0" applyFont="1" applyFill="1" applyBorder="1"/>
    <xf numFmtId="0" fontId="0" fillId="0" borderId="4" xfId="0" applyFill="1" applyBorder="1"/>
    <xf numFmtId="0" fontId="8" fillId="0" borderId="12" xfId="0" applyFont="1" applyFill="1" applyBorder="1"/>
    <xf numFmtId="0" fontId="0" fillId="0" borderId="12" xfId="0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11" xfId="0" applyBorder="1"/>
    <xf numFmtId="0" fontId="9" fillId="0" borderId="9" xfId="0" applyFont="1" applyBorder="1"/>
    <xf numFmtId="0" fontId="9" fillId="0" borderId="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9" fillId="0" borderId="11" xfId="0" quotePrefix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0" fontId="11" fillId="0" borderId="0" xfId="0" applyFont="1" applyFill="1" applyAlignment="1">
      <alignment horizontal="center" vertical="center" wrapText="1"/>
    </xf>
    <xf numFmtId="167" fontId="0" fillId="0" borderId="1" xfId="0" applyNumberFormat="1" applyFill="1" applyBorder="1"/>
    <xf numFmtId="0" fontId="11" fillId="0" borderId="1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8" fontId="0" fillId="0" borderId="2" xfId="0" applyNumberFormat="1" applyBorder="1" applyAlignment="1">
      <alignment horizontal="center" vertical="center" wrapText="1"/>
    </xf>
    <xf numFmtId="167" fontId="0" fillId="0" borderId="2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8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5" borderId="5" xfId="0" applyFill="1" applyBorder="1"/>
    <xf numFmtId="0" fontId="0" fillId="5" borderId="0" xfId="0" applyFill="1" applyBorder="1"/>
    <xf numFmtId="167" fontId="0" fillId="5" borderId="0" xfId="0" applyNumberFormat="1" applyFill="1" applyBorder="1"/>
    <xf numFmtId="168" fontId="0" fillId="5" borderId="0" xfId="0" applyNumberForma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center"/>
    </xf>
    <xf numFmtId="10" fontId="0" fillId="5" borderId="0" xfId="0" applyNumberFormat="1" applyFill="1" applyBorder="1" applyAlignment="1">
      <alignment horizontal="right"/>
    </xf>
    <xf numFmtId="0" fontId="0" fillId="5" borderId="15" xfId="0" applyFill="1" applyBorder="1"/>
    <xf numFmtId="0" fontId="0" fillId="5" borderId="0" xfId="0" applyFill="1" applyBorder="1" applyAlignment="1">
      <alignment horizontal="right"/>
    </xf>
    <xf numFmtId="0" fontId="2" fillId="5" borderId="0" xfId="0" applyFont="1" applyFill="1" applyBorder="1" applyAlignment="1">
      <alignment horizontal="right"/>
    </xf>
    <xf numFmtId="167" fontId="2" fillId="5" borderId="0" xfId="0" applyNumberFormat="1" applyFont="1" applyFill="1" applyBorder="1"/>
    <xf numFmtId="167" fontId="2" fillId="5" borderId="0" xfId="0" applyNumberFormat="1" applyFont="1" applyFill="1" applyBorder="1" applyAlignment="1">
      <alignment horizontal="right"/>
    </xf>
    <xf numFmtId="10" fontId="0" fillId="5" borderId="15" xfId="0" applyNumberFormat="1" applyFill="1" applyBorder="1"/>
    <xf numFmtId="0" fontId="0" fillId="2" borderId="0" xfId="0" applyFill="1" applyBorder="1"/>
    <xf numFmtId="167" fontId="0" fillId="2" borderId="0" xfId="0" applyNumberFormat="1" applyFill="1" applyBorder="1"/>
    <xf numFmtId="168" fontId="0" fillId="2" borderId="0" xfId="0" applyNumberFormat="1" applyFill="1" applyBorder="1"/>
    <xf numFmtId="0" fontId="0" fillId="2" borderId="0" xfId="0" applyNumberFormat="1" applyFill="1" applyBorder="1"/>
    <xf numFmtId="0" fontId="0" fillId="2" borderId="0" xfId="0" applyNumberFormat="1" applyFill="1" applyBorder="1" applyAlignment="1">
      <alignment horizontal="center"/>
    </xf>
    <xf numFmtId="0" fontId="2" fillId="2" borderId="0" xfId="0" applyFont="1" applyFill="1" applyBorder="1"/>
    <xf numFmtId="10" fontId="0" fillId="2" borderId="0" xfId="0" applyNumberFormat="1" applyFill="1" applyBorder="1" applyAlignment="1">
      <alignment horizontal="right"/>
    </xf>
    <xf numFmtId="165" fontId="0" fillId="2" borderId="0" xfId="0" applyNumberFormat="1" applyFill="1" applyBorder="1"/>
    <xf numFmtId="0" fontId="0" fillId="2" borderId="0" xfId="0" applyFill="1" applyBorder="1" applyAlignment="1">
      <alignment horizontal="right"/>
    </xf>
    <xf numFmtId="0" fontId="0" fillId="2" borderId="15" xfId="0" applyFill="1" applyBorder="1"/>
    <xf numFmtId="165" fontId="2" fillId="2" borderId="0" xfId="0" applyNumberFormat="1" applyFont="1" applyFill="1" applyBorder="1"/>
    <xf numFmtId="167" fontId="2" fillId="2" borderId="0" xfId="0" applyNumberFormat="1" applyFont="1" applyFill="1" applyBorder="1" applyAlignment="1">
      <alignment horizontal="right"/>
    </xf>
    <xf numFmtId="10" fontId="0" fillId="2" borderId="15" xfId="0" applyNumberFormat="1" applyFill="1" applyBorder="1"/>
    <xf numFmtId="0" fontId="0" fillId="3" borderId="5" xfId="0" applyFill="1" applyBorder="1"/>
    <xf numFmtId="0" fontId="0" fillId="3" borderId="0" xfId="0" applyFill="1" applyBorder="1"/>
    <xf numFmtId="167" fontId="0" fillId="3" borderId="0" xfId="0" applyNumberFormat="1" applyFill="1" applyBorder="1"/>
    <xf numFmtId="168" fontId="0" fillId="3" borderId="0" xfId="0" applyNumberFormat="1" applyFill="1" applyBorder="1"/>
    <xf numFmtId="0" fontId="0" fillId="3" borderId="0" xfId="0" applyNumberFormat="1" applyFill="1" applyBorder="1"/>
    <xf numFmtId="0" fontId="0" fillId="3" borderId="0" xfId="0" applyNumberFormat="1" applyFill="1" applyBorder="1" applyAlignment="1">
      <alignment horizontal="center"/>
    </xf>
    <xf numFmtId="0" fontId="2" fillId="3" borderId="0" xfId="0" applyFont="1" applyFill="1" applyBorder="1"/>
    <xf numFmtId="10" fontId="0" fillId="3" borderId="0" xfId="0" applyNumberFormat="1" applyFill="1" applyBorder="1" applyAlignment="1">
      <alignment horizontal="right"/>
    </xf>
    <xf numFmtId="165" fontId="0" fillId="3" borderId="0" xfId="0" applyNumberFormat="1" applyFill="1" applyBorder="1"/>
    <xf numFmtId="0" fontId="0" fillId="3" borderId="0" xfId="0" applyFill="1" applyBorder="1" applyAlignment="1">
      <alignment horizontal="right"/>
    </xf>
    <xf numFmtId="0" fontId="0" fillId="3" borderId="15" xfId="0" applyFill="1" applyBorder="1"/>
    <xf numFmtId="165" fontId="2" fillId="3" borderId="0" xfId="0" applyNumberFormat="1" applyFont="1" applyFill="1" applyBorder="1"/>
    <xf numFmtId="167" fontId="2" fillId="3" borderId="0" xfId="0" applyNumberFormat="1" applyFont="1" applyFill="1" applyBorder="1" applyAlignment="1">
      <alignment horizontal="right"/>
    </xf>
    <xf numFmtId="10" fontId="0" fillId="3" borderId="15" xfId="0" applyNumberFormat="1" applyFill="1" applyBorder="1"/>
    <xf numFmtId="0" fontId="0" fillId="4" borderId="5" xfId="0" applyFill="1" applyBorder="1" applyAlignment="1">
      <alignment horizontal="right"/>
    </xf>
    <xf numFmtId="0" fontId="0" fillId="4" borderId="0" xfId="0" applyFill="1" applyBorder="1"/>
    <xf numFmtId="168" fontId="0" fillId="4" borderId="0" xfId="0" applyNumberFormat="1" applyFill="1" applyBorder="1"/>
    <xf numFmtId="0" fontId="2" fillId="4" borderId="0" xfId="0" applyFont="1" applyFill="1" applyBorder="1"/>
    <xf numFmtId="0" fontId="0" fillId="4" borderId="0" xfId="0" applyNumberFormat="1" applyFill="1" applyBorder="1"/>
    <xf numFmtId="0" fontId="0" fillId="4" borderId="0" xfId="0" applyNumberFormat="1" applyFill="1" applyBorder="1" applyAlignment="1">
      <alignment horizontal="center"/>
    </xf>
    <xf numFmtId="10" fontId="0" fillId="4" borderId="0" xfId="0" applyNumberFormat="1" applyFill="1" applyBorder="1" applyAlignment="1">
      <alignment horizontal="right"/>
    </xf>
    <xf numFmtId="167" fontId="0" fillId="4" borderId="0" xfId="0" applyNumberFormat="1" applyFill="1" applyBorder="1"/>
    <xf numFmtId="165" fontId="2" fillId="4" borderId="0" xfId="0" applyNumberFormat="1" applyFont="1" applyFill="1" applyBorder="1"/>
    <xf numFmtId="167" fontId="2" fillId="4" borderId="0" xfId="0" applyNumberFormat="1" applyFont="1" applyFill="1" applyBorder="1" applyAlignment="1">
      <alignment horizontal="right"/>
    </xf>
    <xf numFmtId="10" fontId="0" fillId="4" borderId="15" xfId="0" applyNumberFormat="1" applyFill="1" applyBorder="1"/>
    <xf numFmtId="0" fontId="0" fillId="7" borderId="0" xfId="0" applyFill="1" applyBorder="1"/>
    <xf numFmtId="168" fontId="0" fillId="7" borderId="0" xfId="0" applyNumberFormat="1" applyFill="1" applyBorder="1"/>
    <xf numFmtId="0" fontId="0" fillId="7" borderId="0" xfId="0" applyNumberFormat="1" applyFill="1" applyBorder="1"/>
    <xf numFmtId="0" fontId="0" fillId="7" borderId="0" xfId="0" applyNumberFormat="1" applyFill="1" applyBorder="1" applyAlignment="1">
      <alignment horizontal="center"/>
    </xf>
    <xf numFmtId="10" fontId="0" fillId="7" borderId="0" xfId="0" applyNumberFormat="1" applyFill="1" applyBorder="1" applyAlignment="1">
      <alignment horizontal="right"/>
    </xf>
    <xf numFmtId="0" fontId="0" fillId="7" borderId="0" xfId="0" applyNumberFormat="1" applyFill="1" applyBorder="1" applyAlignment="1">
      <alignment horizontal="right"/>
    </xf>
    <xf numFmtId="10" fontId="0" fillId="7" borderId="15" xfId="0" applyNumberFormat="1" applyFill="1" applyBorder="1"/>
    <xf numFmtId="0" fontId="0" fillId="8" borderId="0" xfId="0" applyFill="1" applyBorder="1"/>
    <xf numFmtId="168" fontId="0" fillId="8" borderId="0" xfId="0" applyNumberFormat="1" applyFill="1" applyBorder="1"/>
    <xf numFmtId="0" fontId="0" fillId="8" borderId="0" xfId="0" applyFill="1" applyBorder="1" applyAlignment="1">
      <alignment horizontal="center"/>
    </xf>
    <xf numFmtId="10" fontId="0" fillId="8" borderId="0" xfId="0" applyNumberFormat="1" applyFill="1" applyBorder="1" applyAlignment="1">
      <alignment horizontal="right"/>
    </xf>
    <xf numFmtId="167" fontId="0" fillId="8" borderId="0" xfId="0" applyNumberFormat="1" applyFill="1" applyBorder="1"/>
    <xf numFmtId="10" fontId="0" fillId="8" borderId="15" xfId="0" applyNumberFormat="1" applyFill="1" applyBorder="1"/>
    <xf numFmtId="167" fontId="0" fillId="8" borderId="0" xfId="0" applyNumberFormat="1" applyFill="1" applyBorder="1" applyAlignment="1">
      <alignment horizontal="right"/>
    </xf>
    <xf numFmtId="0" fontId="0" fillId="6" borderId="0" xfId="0" applyFill="1" applyBorder="1"/>
    <xf numFmtId="168" fontId="0" fillId="6" borderId="0" xfId="0" applyNumberFormat="1" applyFill="1" applyBorder="1"/>
    <xf numFmtId="0" fontId="0" fillId="6" borderId="0" xfId="0" applyFill="1" applyBorder="1" applyAlignment="1">
      <alignment horizontal="center"/>
    </xf>
    <xf numFmtId="10" fontId="0" fillId="6" borderId="0" xfId="0" applyNumberFormat="1" applyFill="1" applyBorder="1" applyAlignment="1">
      <alignment horizontal="right"/>
    </xf>
    <xf numFmtId="167" fontId="0" fillId="6" borderId="0" xfId="0" applyNumberFormat="1" applyFill="1" applyBorder="1"/>
    <xf numFmtId="0" fontId="0" fillId="6" borderId="0" xfId="0" applyFill="1" applyBorder="1" applyAlignment="1">
      <alignment horizontal="right"/>
    </xf>
    <xf numFmtId="10" fontId="0" fillId="6" borderId="15" xfId="0" applyNumberFormat="1" applyFill="1" applyBorder="1"/>
    <xf numFmtId="167" fontId="0" fillId="6" borderId="0" xfId="0" applyNumberFormat="1" applyFill="1" applyBorder="1" applyAlignment="1">
      <alignment horizontal="right"/>
    </xf>
    <xf numFmtId="0" fontId="0" fillId="6" borderId="5" xfId="0" applyFill="1" applyBorder="1"/>
    <xf numFmtId="0" fontId="0" fillId="6" borderId="0" xfId="0" applyNumberFormat="1" applyFill="1" applyBorder="1"/>
    <xf numFmtId="0" fontId="0" fillId="6" borderId="0" xfId="0" applyNumberFormat="1" applyFill="1" applyBorder="1" applyAlignment="1">
      <alignment horizontal="center"/>
    </xf>
    <xf numFmtId="0" fontId="2" fillId="6" borderId="0" xfId="0" applyFont="1" applyFill="1" applyBorder="1"/>
    <xf numFmtId="0" fontId="0" fillId="6" borderId="15" xfId="0" applyFill="1" applyBorder="1"/>
    <xf numFmtId="0" fontId="0" fillId="7" borderId="5" xfId="0" applyFill="1" applyBorder="1"/>
    <xf numFmtId="167" fontId="0" fillId="7" borderId="0" xfId="0" applyNumberFormat="1" applyFill="1" applyBorder="1"/>
    <xf numFmtId="0" fontId="2" fillId="7" borderId="0" xfId="0" applyFont="1" applyFill="1" applyBorder="1"/>
    <xf numFmtId="0" fontId="0" fillId="7" borderId="15" xfId="0" applyFill="1" applyBorder="1"/>
    <xf numFmtId="0" fontId="0" fillId="0" borderId="5" xfId="0" applyFill="1" applyBorder="1"/>
    <xf numFmtId="0" fontId="0" fillId="0" borderId="15" xfId="0" applyFill="1" applyBorder="1"/>
    <xf numFmtId="0" fontId="0" fillId="0" borderId="0" xfId="0" applyFill="1" applyBorder="1" applyAlignment="1">
      <alignment horizontal="center"/>
    </xf>
    <xf numFmtId="0" fontId="0" fillId="2" borderId="5" xfId="0" applyFill="1" applyBorder="1"/>
    <xf numFmtId="0" fontId="0" fillId="3" borderId="0" xfId="0" applyFill="1" applyBorder="1" applyAlignment="1">
      <alignment horizontal="center"/>
    </xf>
    <xf numFmtId="0" fontId="0" fillId="5" borderId="0" xfId="0" applyNumberFormat="1" applyFill="1" applyBorder="1"/>
    <xf numFmtId="0" fontId="0" fillId="5" borderId="0" xfId="0" applyNumberForma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13" xfId="0" applyFill="1" applyBorder="1"/>
    <xf numFmtId="0" fontId="0" fillId="7" borderId="14" xfId="0" applyFill="1" applyBorder="1"/>
    <xf numFmtId="168" fontId="0" fillId="7" borderId="14" xfId="0" applyNumberFormat="1" applyFill="1" applyBorder="1"/>
    <xf numFmtId="0" fontId="0" fillId="7" borderId="14" xfId="0" applyFill="1" applyBorder="1" applyAlignment="1">
      <alignment horizontal="center"/>
    </xf>
    <xf numFmtId="0" fontId="2" fillId="7" borderId="14" xfId="0" applyFont="1" applyFill="1" applyBorder="1"/>
    <xf numFmtId="167" fontId="0" fillId="7" borderId="14" xfId="0" applyNumberFormat="1" applyFill="1" applyBorder="1"/>
    <xf numFmtId="0" fontId="0" fillId="7" borderId="18" xfId="0" applyFill="1" applyBorder="1"/>
    <xf numFmtId="0" fontId="11" fillId="0" borderId="16" xfId="0" applyFont="1" applyBorder="1"/>
    <xf numFmtId="0" fontId="0" fillId="0" borderId="5" xfId="0" applyFill="1" applyBorder="1" applyAlignment="1">
      <alignment horizontal="right"/>
    </xf>
    <xf numFmtId="167" fontId="0" fillId="9" borderId="15" xfId="0" applyNumberFormat="1" applyFill="1" applyBorder="1"/>
    <xf numFmtId="0" fontId="0" fillId="0" borderId="13" xfId="0" applyBorder="1" applyAlignment="1">
      <alignment horizontal="right"/>
    </xf>
    <xf numFmtId="167" fontId="0" fillId="9" borderId="18" xfId="0" applyNumberFormat="1" applyFill="1" applyBorder="1"/>
    <xf numFmtId="168" fontId="0" fillId="0" borderId="17" xfId="0" applyNumberFormat="1" applyBorder="1"/>
    <xf numFmtId="167" fontId="2" fillId="6" borderId="0" xfId="0" applyNumberFormat="1" applyFont="1" applyFill="1" applyBorder="1" applyAlignment="1">
      <alignment horizontal="right"/>
    </xf>
    <xf numFmtId="0" fontId="4" fillId="4" borderId="0" xfId="0" applyFont="1" applyFill="1" applyBorder="1"/>
    <xf numFmtId="0" fontId="0" fillId="4" borderId="0" xfId="0" applyFill="1" applyBorder="1" applyAlignment="1">
      <alignment horizontal="right"/>
    </xf>
    <xf numFmtId="167" fontId="0" fillId="4" borderId="0" xfId="0" applyNumberFormat="1" applyFill="1" applyBorder="1" applyAlignment="1">
      <alignment horizontal="right"/>
    </xf>
    <xf numFmtId="0" fontId="9" fillId="0" borderId="5" xfId="0" applyFont="1" applyFill="1" applyBorder="1"/>
    <xf numFmtId="165" fontId="0" fillId="5" borderId="0" xfId="0" applyNumberFormat="1" applyFill="1" applyBorder="1"/>
    <xf numFmtId="9" fontId="11" fillId="5" borderId="0" xfId="0" quotePrefix="1" applyNumberFormat="1" applyFont="1" applyFill="1" applyBorder="1"/>
    <xf numFmtId="0" fontId="11" fillId="3" borderId="0" xfId="0" quotePrefix="1" applyFont="1" applyFill="1" applyBorder="1"/>
    <xf numFmtId="0" fontId="11" fillId="8" borderId="0" xfId="0" quotePrefix="1" applyFont="1" applyFill="1" applyBorder="1"/>
    <xf numFmtId="0" fontId="11" fillId="0" borderId="11" xfId="0" applyFont="1" applyBorder="1" applyAlignment="1">
      <alignment horizontal="center"/>
    </xf>
    <xf numFmtId="0" fontId="0" fillId="2" borderId="5" xfId="0" applyFill="1" applyBorder="1" applyAlignment="1"/>
    <xf numFmtId="0" fontId="0" fillId="3" borderId="5" xfId="0" applyFill="1" applyBorder="1" applyAlignment="1"/>
    <xf numFmtId="0" fontId="0" fillId="6" borderId="5" xfId="0" applyFill="1" applyBorder="1" applyAlignment="1"/>
    <xf numFmtId="0" fontId="0" fillId="4" borderId="5" xfId="0" applyFill="1" applyBorder="1" applyAlignment="1"/>
    <xf numFmtId="0" fontId="11" fillId="6" borderId="5" xfId="0" applyFont="1" applyFill="1" applyBorder="1" applyAlignment="1"/>
    <xf numFmtId="0" fontId="10" fillId="6" borderId="0" xfId="0" applyFont="1" applyFill="1" applyBorder="1"/>
    <xf numFmtId="0" fontId="10" fillId="8" borderId="0" xfId="0" applyFont="1" applyFill="1" applyBorder="1"/>
    <xf numFmtId="0" fontId="10" fillId="4" borderId="0" xfId="0" applyFont="1" applyFill="1" applyBorder="1"/>
    <xf numFmtId="0" fontId="10" fillId="2" borderId="0" xfId="0" applyFont="1" applyFill="1" applyBorder="1"/>
    <xf numFmtId="0" fontId="9" fillId="0" borderId="0" xfId="0" applyFont="1" applyFill="1" applyAlignment="1">
      <alignment horizontal="center"/>
    </xf>
    <xf numFmtId="0" fontId="10" fillId="0" borderId="0" xfId="0" applyFont="1"/>
    <xf numFmtId="0" fontId="0" fillId="0" borderId="0" xfId="0" applyNumberFormat="1"/>
    <xf numFmtId="0" fontId="14" fillId="0" borderId="0" xfId="0" applyFont="1"/>
    <xf numFmtId="0" fontId="0" fillId="0" borderId="19" xfId="0" applyBorder="1"/>
    <xf numFmtId="0" fontId="0" fillId="0" borderId="20" xfId="0" applyBorder="1"/>
    <xf numFmtId="0" fontId="0" fillId="0" borderId="21" xfId="0" applyFill="1" applyBorder="1"/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10" fontId="0" fillId="0" borderId="1" xfId="0" applyNumberFormat="1" applyBorder="1"/>
    <xf numFmtId="0" fontId="18" fillId="0" borderId="12" xfId="0" applyFont="1" applyFill="1" applyBorder="1"/>
    <xf numFmtId="0" fontId="20" fillId="0" borderId="1" xfId="0" applyFont="1" applyBorder="1"/>
    <xf numFmtId="0" fontId="19" fillId="0" borderId="12" xfId="0" applyFont="1" applyFill="1" applyBorder="1"/>
    <xf numFmtId="0" fontId="17" fillId="0" borderId="1" xfId="0" applyFont="1" applyBorder="1"/>
    <xf numFmtId="0" fontId="2" fillId="0" borderId="4" xfId="0" applyFont="1" applyBorder="1"/>
    <xf numFmtId="0" fontId="16" fillId="0" borderId="12" xfId="0" applyFont="1" applyFill="1" applyBorder="1"/>
    <xf numFmtId="0" fontId="19" fillId="0" borderId="7" xfId="0" applyFont="1" applyFill="1" applyBorder="1"/>
    <xf numFmtId="0" fontId="2" fillId="0" borderId="8" xfId="0" applyFont="1" applyBorder="1"/>
    <xf numFmtId="0" fontId="17" fillId="0" borderId="23" xfId="0" applyFont="1" applyBorder="1"/>
    <xf numFmtId="0" fontId="0" fillId="0" borderId="23" xfId="0" applyBorder="1"/>
    <xf numFmtId="0" fontId="0" fillId="0" borderId="24" xfId="0" applyBorder="1"/>
    <xf numFmtId="0" fontId="16" fillId="0" borderId="0" xfId="0" applyFont="1" applyFill="1" applyBorder="1"/>
    <xf numFmtId="0" fontId="18" fillId="0" borderId="22" xfId="0" applyFont="1" applyFill="1" applyBorder="1"/>
    <xf numFmtId="0" fontId="18" fillId="0" borderId="16" xfId="0" applyFont="1" applyFill="1" applyBorder="1"/>
    <xf numFmtId="0" fontId="0" fillId="0" borderId="14" xfId="0" applyBorder="1"/>
    <xf numFmtId="0" fontId="16" fillId="0" borderId="5" xfId="0" applyFont="1" applyBorder="1"/>
    <xf numFmtId="0" fontId="2" fillId="0" borderId="5" xfId="0" applyFont="1" applyBorder="1"/>
    <xf numFmtId="0" fontId="16" fillId="0" borderId="13" xfId="0" applyFont="1" applyBorder="1"/>
    <xf numFmtId="9" fontId="0" fillId="0" borderId="20" xfId="0" applyNumberFormat="1" applyBorder="1"/>
    <xf numFmtId="0" fontId="2" fillId="0" borderId="20" xfId="0" applyFont="1" applyBorder="1"/>
    <xf numFmtId="0" fontId="2" fillId="0" borderId="0" xfId="0" applyFont="1" applyBorder="1"/>
    <xf numFmtId="0" fontId="2" fillId="6" borderId="5" xfId="0" applyFont="1" applyFill="1" applyBorder="1" applyAlignment="1"/>
    <xf numFmtId="0" fontId="0" fillId="4" borderId="0" xfId="0" applyFill="1" applyBorder="1" applyAlignment="1"/>
    <xf numFmtId="0" fontId="0" fillId="7" borderId="0" xfId="0" applyFill="1" applyBorder="1" applyAlignment="1"/>
    <xf numFmtId="0" fontId="11" fillId="6" borderId="0" xfId="0" applyFont="1" applyFill="1" applyBorder="1" applyAlignment="1"/>
    <xf numFmtId="0" fontId="0" fillId="0" borderId="15" xfId="0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10" fontId="0" fillId="0" borderId="0" xfId="1" applyNumberFormat="1" applyFont="1"/>
    <xf numFmtId="0" fontId="2" fillId="0" borderId="0" xfId="2"/>
    <xf numFmtId="0" fontId="2" fillId="0" borderId="0" xfId="2" applyFont="1"/>
    <xf numFmtId="9" fontId="0" fillId="0" borderId="0" xfId="3" applyFont="1"/>
    <xf numFmtId="9" fontId="2" fillId="0" borderId="0" xfId="2" applyNumberFormat="1"/>
    <xf numFmtId="0" fontId="23" fillId="0" borderId="0" xfId="2" applyFont="1"/>
    <xf numFmtId="0" fontId="2" fillId="0" borderId="14" xfId="2" applyBorder="1"/>
    <xf numFmtId="169" fontId="2" fillId="0" borderId="0" xfId="2" applyNumberFormat="1"/>
    <xf numFmtId="169" fontId="24" fillId="0" borderId="0" xfId="2" applyNumberFormat="1" applyFont="1"/>
    <xf numFmtId="169" fontId="23" fillId="0" borderId="0" xfId="1" applyNumberFormat="1" applyFont="1"/>
    <xf numFmtId="169" fontId="25" fillId="0" borderId="0" xfId="1" applyNumberFormat="1" applyFont="1"/>
    <xf numFmtId="0" fontId="9" fillId="0" borderId="0" xfId="2" applyFont="1" applyAlignment="1">
      <alignment wrapText="1"/>
    </xf>
    <xf numFmtId="167" fontId="23" fillId="0" borderId="0" xfId="2" applyNumberFormat="1" applyFont="1"/>
    <xf numFmtId="9" fontId="23" fillId="0" borderId="0" xfId="1" applyFont="1"/>
    <xf numFmtId="0" fontId="2" fillId="0" borderId="0" xfId="2" applyBorder="1"/>
    <xf numFmtId="0" fontId="26" fillId="7" borderId="0" xfId="0" applyFont="1" applyFill="1" applyBorder="1"/>
    <xf numFmtId="0" fontId="26" fillId="7" borderId="0" xfId="0" applyNumberFormat="1" applyFont="1" applyFill="1" applyBorder="1"/>
    <xf numFmtId="0" fontId="26" fillId="3" borderId="0" xfId="0" applyFont="1" applyFill="1" applyBorder="1"/>
    <xf numFmtId="0" fontId="26" fillId="6" borderId="0" xfId="0" applyFont="1" applyFill="1" applyBorder="1"/>
    <xf numFmtId="0" fontId="26" fillId="4" borderId="0" xfId="0" applyFont="1" applyFill="1" applyBorder="1" applyAlignment="1">
      <alignment horizontal="right"/>
    </xf>
    <xf numFmtId="0" fontId="26" fillId="8" borderId="0" xfId="0" applyFont="1" applyFill="1" applyBorder="1"/>
    <xf numFmtId="167" fontId="26" fillId="2" borderId="0" xfId="0" applyNumberFormat="1" applyFont="1" applyFill="1" applyBorder="1"/>
    <xf numFmtId="167" fontId="27" fillId="5" borderId="0" xfId="0" applyNumberFormat="1" applyFont="1" applyFill="1" applyBorder="1"/>
    <xf numFmtId="167" fontId="27" fillId="3" borderId="0" xfId="0" applyNumberFormat="1" applyFont="1" applyFill="1" applyBorder="1"/>
    <xf numFmtId="0" fontId="27" fillId="4" borderId="0" xfId="0" applyFont="1" applyFill="1" applyBorder="1"/>
    <xf numFmtId="168" fontId="27" fillId="6" borderId="0" xfId="0" applyNumberFormat="1" applyFont="1" applyFill="1" applyBorder="1"/>
    <xf numFmtId="0" fontId="26" fillId="0" borderId="1" xfId="0" applyFont="1" applyBorder="1" applyAlignment="1">
      <alignment horizontal="left"/>
    </xf>
    <xf numFmtId="0" fontId="26" fillId="0" borderId="1" xfId="0" applyFont="1" applyBorder="1" applyAlignment="1">
      <alignment horizontal="center"/>
    </xf>
    <xf numFmtId="166" fontId="26" fillId="0" borderId="1" xfId="0" applyNumberFormat="1" applyFont="1" applyBorder="1" applyAlignment="1">
      <alignment horizontal="center"/>
    </xf>
    <xf numFmtId="10" fontId="26" fillId="0" borderId="4" xfId="0" applyNumberFormat="1" applyFont="1" applyBorder="1"/>
    <xf numFmtId="0" fontId="26" fillId="0" borderId="1" xfId="0" applyFont="1" applyFill="1" applyBorder="1" applyAlignment="1">
      <alignment horizontal="left"/>
    </xf>
    <xf numFmtId="0" fontId="2" fillId="3" borderId="0" xfId="0" applyFont="1" applyFill="1"/>
    <xf numFmtId="0" fontId="2" fillId="0" borderId="12" xfId="0" quotePrefix="1" applyFont="1" applyBorder="1" applyAlignment="1">
      <alignment horizontal="center"/>
    </xf>
    <xf numFmtId="0" fontId="2" fillId="0" borderId="1" xfId="2" applyFont="1" applyBorder="1"/>
    <xf numFmtId="0" fontId="2" fillId="3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2" fillId="10" borderId="0" xfId="2" applyFont="1" applyFill="1"/>
    <xf numFmtId="0" fontId="2" fillId="10" borderId="0" xfId="0" applyFont="1" applyFill="1"/>
    <xf numFmtId="0" fontId="2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0" fontId="2" fillId="8" borderId="0" xfId="0" applyFont="1" applyFill="1" applyBorder="1"/>
    <xf numFmtId="0" fontId="2" fillId="8" borderId="0" xfId="0" applyFont="1" applyFill="1" applyBorder="1" applyAlignment="1"/>
    <xf numFmtId="165" fontId="26" fillId="8" borderId="0" xfId="0" applyNumberFormat="1" applyFont="1" applyFill="1" applyBorder="1"/>
    <xf numFmtId="167" fontId="26" fillId="5" borderId="0" xfId="0" applyNumberFormat="1" applyFont="1" applyFill="1" applyBorder="1"/>
    <xf numFmtId="0" fontId="28" fillId="0" borderId="1" xfId="0" applyFont="1" applyFill="1" applyBorder="1"/>
    <xf numFmtId="0" fontId="28" fillId="0" borderId="1" xfId="0" applyFont="1" applyBorder="1"/>
    <xf numFmtId="0" fontId="26" fillId="0" borderId="12" xfId="0" applyFont="1" applyFill="1" applyBorder="1"/>
    <xf numFmtId="0" fontId="26" fillId="0" borderId="1" xfId="0" applyFont="1" applyFill="1" applyBorder="1"/>
    <xf numFmtId="0" fontId="26" fillId="0" borderId="1" xfId="0" applyFont="1" applyBorder="1"/>
    <xf numFmtId="2" fontId="26" fillId="6" borderId="0" xfId="0" applyNumberFormat="1" applyFont="1" applyFill="1" applyBorder="1"/>
    <xf numFmtId="0" fontId="26" fillId="0" borderId="0" xfId="0" applyFont="1" applyFill="1"/>
    <xf numFmtId="0" fontId="2" fillId="0" borderId="1" xfId="0" applyFont="1" applyFill="1" applyBorder="1"/>
    <xf numFmtId="0" fontId="2" fillId="0" borderId="20" xfId="0" applyFont="1" applyFill="1" applyBorder="1"/>
    <xf numFmtId="0" fontId="2" fillId="0" borderId="20" xfId="0" applyFont="1" applyFill="1" applyBorder="1" applyAlignment="1">
      <alignment horizontal="center"/>
    </xf>
    <xf numFmtId="0" fontId="9" fillId="0" borderId="0" xfId="2" applyFont="1"/>
    <xf numFmtId="0" fontId="2" fillId="0" borderId="0" xfId="0" applyFont="1" applyAlignment="1">
      <alignment wrapText="1"/>
    </xf>
    <xf numFmtId="168" fontId="0" fillId="8" borderId="16" xfId="0" applyNumberFormat="1" applyFill="1" applyBorder="1"/>
    <xf numFmtId="0" fontId="0" fillId="8" borderId="17" xfId="0" applyFill="1" applyBorder="1"/>
    <xf numFmtId="168" fontId="0" fillId="8" borderId="5" xfId="0" applyNumberFormat="1" applyFill="1" applyBorder="1"/>
    <xf numFmtId="0" fontId="0" fillId="8" borderId="15" xfId="0" applyFill="1" applyBorder="1"/>
    <xf numFmtId="0" fontId="2" fillId="0" borderId="18" xfId="0" applyFont="1" applyBorder="1"/>
    <xf numFmtId="0" fontId="26" fillId="8" borderId="17" xfId="0" applyFont="1" applyFill="1" applyBorder="1"/>
    <xf numFmtId="0" fontId="26" fillId="8" borderId="15" xfId="0" applyFont="1" applyFill="1" applyBorder="1"/>
    <xf numFmtId="0" fontId="1" fillId="0" borderId="0" xfId="5"/>
    <xf numFmtId="0" fontId="1" fillId="0" borderId="0" xfId="5" applyBorder="1"/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5" xfId="0" quotePrefix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quotePrefix="1" applyBorder="1" applyAlignment="1">
      <alignment horizontal="center" vertical="center" wrapText="1"/>
    </xf>
    <xf numFmtId="0" fontId="0" fillId="0" borderId="13" xfId="0" quotePrefix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8" fontId="0" fillId="5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8" fontId="0" fillId="3" borderId="0" xfId="0" applyNumberFormat="1" applyFill="1" applyBorder="1" applyAlignment="1">
      <alignment horizontal="center"/>
    </xf>
    <xf numFmtId="168" fontId="0" fillId="6" borderId="0" xfId="0" applyNumberFormat="1" applyFill="1" applyBorder="1" applyAlignment="1">
      <alignment horizontal="center"/>
    </xf>
    <xf numFmtId="168" fontId="0" fillId="4" borderId="0" xfId="0" applyNumberForma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8" fontId="0" fillId="7" borderId="0" xfId="0" applyNumberFormat="1" applyFill="1" applyBorder="1" applyAlignment="1">
      <alignment horizontal="center"/>
    </xf>
    <xf numFmtId="0" fontId="26" fillId="7" borderId="0" xfId="0" applyFont="1" applyFill="1" applyBorder="1" applyAlignment="1">
      <alignment horizontal="center"/>
    </xf>
    <xf numFmtId="168" fontId="0" fillId="8" borderId="0" xfId="0" applyNumberFormat="1" applyFill="1" applyBorder="1" applyAlignment="1">
      <alignment horizontal="center"/>
    </xf>
    <xf numFmtId="0" fontId="26" fillId="8" borderId="0" xfId="0" applyFon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168" fontId="0" fillId="7" borderId="14" xfId="0" applyNumberForma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165" fontId="26" fillId="4" borderId="0" xfId="0" applyNumberFormat="1" applyFont="1" applyFill="1" applyBorder="1"/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</cellXfs>
  <cellStyles count="6">
    <cellStyle name="Normal" xfId="0" builtinId="0"/>
    <cellStyle name="Normal 2" xfId="2"/>
    <cellStyle name="Normal 3" xfId="4"/>
    <cellStyle name="Normal 4" xfId="5"/>
    <cellStyle name="Percent" xfId="1" builtinId="5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4"/>
  <sheetViews>
    <sheetView tabSelected="1" zoomScaleNormal="100" workbookViewId="0">
      <selection activeCell="C13" sqref="C13"/>
    </sheetView>
  </sheetViews>
  <sheetFormatPr defaultRowHeight="12.75" x14ac:dyDescent="0.2"/>
  <cols>
    <col min="1" max="1" width="3.28515625" customWidth="1"/>
    <col min="2" max="2" width="15.85546875" customWidth="1"/>
    <col min="3" max="3" width="87" customWidth="1"/>
  </cols>
  <sheetData>
    <row r="2" spans="2:3" x14ac:dyDescent="0.2">
      <c r="B2" s="26" t="s">
        <v>416</v>
      </c>
      <c r="C2" s="26" t="s">
        <v>290</v>
      </c>
    </row>
    <row r="3" spans="2:3" x14ac:dyDescent="0.2">
      <c r="B3" s="287" t="s">
        <v>417</v>
      </c>
      <c r="C3" s="285"/>
    </row>
    <row r="4" spans="2:3" ht="38.25" x14ac:dyDescent="0.2">
      <c r="B4" s="287"/>
      <c r="C4" s="380" t="s">
        <v>545</v>
      </c>
    </row>
    <row r="5" spans="2:3" x14ac:dyDescent="0.2">
      <c r="B5" s="287"/>
    </row>
    <row r="6" spans="2:3" x14ac:dyDescent="0.2">
      <c r="B6" s="287" t="s">
        <v>418</v>
      </c>
    </row>
    <row r="7" spans="2:3" ht="38.25" x14ac:dyDescent="0.2">
      <c r="B7" s="287"/>
      <c r="C7" s="380" t="s">
        <v>422</v>
      </c>
    </row>
    <row r="8" spans="2:3" x14ac:dyDescent="0.2">
      <c r="B8" s="287"/>
      <c r="C8" s="285"/>
    </row>
    <row r="9" spans="2:3" x14ac:dyDescent="0.2">
      <c r="B9" s="287" t="s">
        <v>108</v>
      </c>
    </row>
    <row r="10" spans="2:3" ht="25.5" x14ac:dyDescent="0.2">
      <c r="B10" s="287"/>
      <c r="C10" s="380" t="s">
        <v>546</v>
      </c>
    </row>
    <row r="11" spans="2:3" x14ac:dyDescent="0.2">
      <c r="B11" s="287"/>
    </row>
    <row r="12" spans="2:3" x14ac:dyDescent="0.2">
      <c r="B12" s="287" t="s">
        <v>419</v>
      </c>
    </row>
    <row r="13" spans="2:3" x14ac:dyDescent="0.2">
      <c r="B13" s="287"/>
      <c r="C13" s="3" t="s">
        <v>547</v>
      </c>
    </row>
    <row r="14" spans="2:3" x14ac:dyDescent="0.2">
      <c r="B14" s="287"/>
    </row>
    <row r="15" spans="2:3" x14ac:dyDescent="0.2">
      <c r="B15" s="287" t="s">
        <v>420</v>
      </c>
    </row>
    <row r="16" spans="2:3" x14ac:dyDescent="0.2">
      <c r="C16" s="3" t="s">
        <v>548</v>
      </c>
    </row>
    <row r="17" spans="2:3" x14ac:dyDescent="0.2">
      <c r="B17" s="287"/>
    </row>
    <row r="18" spans="2:3" x14ac:dyDescent="0.2">
      <c r="B18" s="287" t="s">
        <v>49</v>
      </c>
    </row>
    <row r="19" spans="2:3" x14ac:dyDescent="0.2">
      <c r="C19" s="3" t="s">
        <v>549</v>
      </c>
    </row>
    <row r="20" spans="2:3" x14ac:dyDescent="0.2">
      <c r="B20" s="287"/>
    </row>
    <row r="21" spans="2:3" x14ac:dyDescent="0.2">
      <c r="B21" s="287" t="s">
        <v>421</v>
      </c>
    </row>
    <row r="22" spans="2:3" x14ac:dyDescent="0.2">
      <c r="C22" s="3" t="s">
        <v>550</v>
      </c>
    </row>
    <row r="23" spans="2:3" x14ac:dyDescent="0.2">
      <c r="B23" s="287"/>
    </row>
    <row r="24" spans="2:3" x14ac:dyDescent="0.2">
      <c r="B24" s="1" t="s">
        <v>35</v>
      </c>
    </row>
    <row r="25" spans="2:3" x14ac:dyDescent="0.2">
      <c r="C25" s="3" t="s">
        <v>551</v>
      </c>
    </row>
    <row r="26" spans="2:3" x14ac:dyDescent="0.2">
      <c r="B26" s="287"/>
    </row>
    <row r="27" spans="2:3" x14ac:dyDescent="0.2">
      <c r="B27" s="1" t="s">
        <v>552</v>
      </c>
    </row>
    <row r="28" spans="2:3" x14ac:dyDescent="0.2">
      <c r="C28" s="3" t="s">
        <v>553</v>
      </c>
    </row>
    <row r="29" spans="2:3" x14ac:dyDescent="0.2">
      <c r="B29" s="287"/>
    </row>
    <row r="30" spans="2:3" x14ac:dyDescent="0.2">
      <c r="B30" s="1" t="s">
        <v>557</v>
      </c>
    </row>
    <row r="31" spans="2:3" x14ac:dyDescent="0.2">
      <c r="C31" s="3" t="s">
        <v>558</v>
      </c>
    </row>
    <row r="32" spans="2:3" x14ac:dyDescent="0.2">
      <c r="B32" s="287"/>
    </row>
    <row r="33" spans="2:3" x14ac:dyDescent="0.2">
      <c r="B33" s="1" t="s">
        <v>559</v>
      </c>
    </row>
    <row r="34" spans="2:3" ht="25.5" x14ac:dyDescent="0.2">
      <c r="C34" s="380" t="s">
        <v>560</v>
      </c>
    </row>
  </sheetData>
  <phoneticPr fontId="15" type="noConversion"/>
  <pageMargins left="0.7" right="0.7" top="0.75" bottom="0.75" header="0.3" footer="0.3"/>
  <pageSetup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1"/>
  <sheetViews>
    <sheetView zoomScaleNormal="100" workbookViewId="0">
      <selection activeCell="H39" sqref="H39"/>
    </sheetView>
  </sheetViews>
  <sheetFormatPr defaultRowHeight="12.75" x14ac:dyDescent="0.2"/>
  <cols>
    <col min="1" max="1" width="2.5703125" style="323" customWidth="1"/>
    <col min="2" max="2" width="19.85546875" style="323" bestFit="1" customWidth="1"/>
    <col min="3" max="3" width="9.7109375" style="323" bestFit="1" customWidth="1"/>
    <col min="4" max="4" width="17.7109375" style="323" customWidth="1"/>
    <col min="5" max="5" width="18.28515625" style="323" customWidth="1"/>
    <col min="6" max="9" width="15.5703125" style="323" customWidth="1"/>
    <col min="10" max="16384" width="9.140625" style="323"/>
  </cols>
  <sheetData>
    <row r="1" spans="2:9" x14ac:dyDescent="0.2">
      <c r="B1" s="379" t="s">
        <v>544</v>
      </c>
    </row>
    <row r="2" spans="2:9" s="333" customFormat="1" ht="38.25" x14ac:dyDescent="0.2">
      <c r="B2" s="333" t="s">
        <v>147</v>
      </c>
      <c r="C2" s="333" t="s">
        <v>491</v>
      </c>
      <c r="D2" s="333" t="s">
        <v>492</v>
      </c>
      <c r="E2" s="333" t="s">
        <v>493</v>
      </c>
      <c r="F2" s="333" t="s">
        <v>505</v>
      </c>
      <c r="G2" s="333" t="s">
        <v>504</v>
      </c>
      <c r="H2" s="333" t="s">
        <v>506</v>
      </c>
      <c r="I2" s="333" t="s">
        <v>507</v>
      </c>
    </row>
    <row r="3" spans="2:9" x14ac:dyDescent="0.2">
      <c r="B3" s="324" t="s">
        <v>102</v>
      </c>
      <c r="C3" s="325">
        <v>0.46</v>
      </c>
      <c r="D3" s="324" t="s">
        <v>508</v>
      </c>
      <c r="E3" s="324" t="s">
        <v>494</v>
      </c>
      <c r="F3" s="330">
        <f>C3</f>
        <v>0.46</v>
      </c>
      <c r="G3" s="332">
        <v>0.55000000000000004</v>
      </c>
      <c r="H3" s="330">
        <f>F3</f>
        <v>0.46</v>
      </c>
      <c r="I3" s="330">
        <f>H3/($H$12)*(1-$H$10)</f>
        <v>0.56036495690221388</v>
      </c>
    </row>
    <row r="4" spans="2:9" x14ac:dyDescent="0.2">
      <c r="B4" s="324" t="s">
        <v>35</v>
      </c>
      <c r="C4" s="325">
        <v>0.04</v>
      </c>
      <c r="D4" s="324" t="s">
        <v>509</v>
      </c>
      <c r="E4" s="324" t="s">
        <v>513</v>
      </c>
      <c r="F4" s="330">
        <f t="shared" ref="F4:F6" si="0">C4</f>
        <v>0.04</v>
      </c>
      <c r="G4" s="332">
        <v>3.1E-2</v>
      </c>
      <c r="H4" s="330">
        <f>F4</f>
        <v>0.04</v>
      </c>
      <c r="I4" s="330">
        <f>H4/($H$12)*(1-$H$10)</f>
        <v>4.8727387556714255E-2</v>
      </c>
    </row>
    <row r="5" spans="2:9" x14ac:dyDescent="0.2">
      <c r="B5" s="324" t="s">
        <v>41</v>
      </c>
      <c r="C5" s="325">
        <v>0.1</v>
      </c>
      <c r="D5" s="324" t="s">
        <v>510</v>
      </c>
      <c r="E5" s="324" t="s">
        <v>494</v>
      </c>
      <c r="F5" s="330">
        <f t="shared" si="0"/>
        <v>0.1</v>
      </c>
      <c r="G5" s="332">
        <v>0.20499999999999999</v>
      </c>
      <c r="H5" s="330">
        <f>F5</f>
        <v>0.1</v>
      </c>
      <c r="I5" s="330">
        <f t="shared" ref="I4:I9" si="1">H5/($H$12)*(1-$H$10)</f>
        <v>0.12181846889178564</v>
      </c>
    </row>
    <row r="6" spans="2:9" x14ac:dyDescent="0.2">
      <c r="B6" s="324" t="s">
        <v>495</v>
      </c>
      <c r="C6" s="335">
        <v>0.15</v>
      </c>
      <c r="D6" s="324" t="s">
        <v>511</v>
      </c>
      <c r="E6" s="324" t="s">
        <v>521</v>
      </c>
      <c r="F6" s="331">
        <f t="shared" si="0"/>
        <v>0.15</v>
      </c>
      <c r="G6" s="332">
        <v>9.0999999999999998E-2</v>
      </c>
      <c r="H6" s="331">
        <f>F6*G26</f>
        <v>0.12219959266802444</v>
      </c>
      <c r="I6" s="331">
        <f t="shared" si="1"/>
        <v>0.14886167278018608</v>
      </c>
    </row>
    <row r="7" spans="2:9" x14ac:dyDescent="0.2">
      <c r="B7" s="324" t="s">
        <v>23</v>
      </c>
      <c r="C7" s="335"/>
      <c r="D7" s="324" t="s">
        <v>512</v>
      </c>
      <c r="E7" s="324" t="s">
        <v>494</v>
      </c>
      <c r="F7" s="330"/>
      <c r="G7" s="332">
        <v>2.5000000000000001E-2</v>
      </c>
      <c r="H7" s="332">
        <f>G7</f>
        <v>2.5000000000000001E-2</v>
      </c>
      <c r="I7" s="332">
        <f t="shared" si="1"/>
        <v>3.0454617222946411E-2</v>
      </c>
    </row>
    <row r="8" spans="2:9" x14ac:dyDescent="0.2">
      <c r="B8" s="324" t="s">
        <v>106</v>
      </c>
      <c r="C8" s="325"/>
      <c r="D8" s="324" t="s">
        <v>494</v>
      </c>
      <c r="E8" s="324" t="s">
        <v>494</v>
      </c>
      <c r="F8" s="329"/>
      <c r="G8" s="332">
        <v>3.4000000000000002E-2</v>
      </c>
      <c r="H8" s="332">
        <f>G8</f>
        <v>3.4000000000000002E-2</v>
      </c>
      <c r="I8" s="332">
        <f t="shared" si="1"/>
        <v>4.1418279423207117E-2</v>
      </c>
    </row>
    <row r="9" spans="2:9" x14ac:dyDescent="0.2">
      <c r="B9" s="324" t="s">
        <v>49</v>
      </c>
      <c r="C9" s="325"/>
      <c r="D9" s="324" t="s">
        <v>494</v>
      </c>
      <c r="E9" s="324" t="s">
        <v>494</v>
      </c>
      <c r="F9" s="329"/>
      <c r="G9" s="332">
        <v>2.5000000000000001E-2</v>
      </c>
      <c r="H9" s="332">
        <f t="shared" ref="H9" si="2">G9</f>
        <v>2.5000000000000001E-2</v>
      </c>
      <c r="I9" s="332">
        <f t="shared" si="1"/>
        <v>3.0454617222946411E-2</v>
      </c>
    </row>
    <row r="10" spans="2:9" x14ac:dyDescent="0.2">
      <c r="B10" s="324" t="s">
        <v>502</v>
      </c>
      <c r="C10" s="325"/>
      <c r="D10" s="324" t="s">
        <v>494</v>
      </c>
      <c r="E10" s="324" t="s">
        <v>494</v>
      </c>
      <c r="F10" s="329"/>
      <c r="G10" s="332">
        <v>3.9E-2</v>
      </c>
      <c r="H10" s="331">
        <f>1%+0.79%</f>
        <v>1.7899999999999999E-2</v>
      </c>
      <c r="I10" s="331">
        <f>H10</f>
        <v>1.7899999999999999E-2</v>
      </c>
    </row>
    <row r="12" spans="2:9" x14ac:dyDescent="0.2">
      <c r="B12" s="324" t="s">
        <v>262</v>
      </c>
      <c r="C12" s="326">
        <f>SUM(C3:C10)</f>
        <v>0.75</v>
      </c>
      <c r="F12" s="329">
        <f>SUM(F3:F10)</f>
        <v>0.75</v>
      </c>
      <c r="G12" s="329">
        <f>SUM(G3:G10)</f>
        <v>1</v>
      </c>
      <c r="H12" s="329">
        <f>SUM(H3:H9)</f>
        <v>0.80619959266802455</v>
      </c>
      <c r="I12" s="329">
        <f>SUM(I3:I10)</f>
        <v>0.99999999999999967</v>
      </c>
    </row>
    <row r="16" spans="2:9" s="328" customFormat="1" ht="13.5" thickBot="1" x14ac:dyDescent="0.25"/>
    <row r="17" spans="2:7" s="336" customFormat="1" x14ac:dyDescent="0.2"/>
    <row r="18" spans="2:7" s="336" customFormat="1" x14ac:dyDescent="0.2">
      <c r="B18" s="336" t="s">
        <v>495</v>
      </c>
    </row>
    <row r="19" spans="2:7" s="336" customFormat="1" x14ac:dyDescent="0.2">
      <c r="B19" s="336" t="s">
        <v>514</v>
      </c>
    </row>
    <row r="20" spans="2:7" s="336" customFormat="1" x14ac:dyDescent="0.2">
      <c r="B20" s="336" t="s">
        <v>515</v>
      </c>
    </row>
    <row r="21" spans="2:7" s="336" customFormat="1" x14ac:dyDescent="0.2">
      <c r="B21" s="336" t="s">
        <v>516</v>
      </c>
    </row>
    <row r="22" spans="2:7" s="336" customFormat="1" x14ac:dyDescent="0.2"/>
    <row r="23" spans="2:7" x14ac:dyDescent="0.2">
      <c r="B23" s="323" t="s">
        <v>503</v>
      </c>
      <c r="E23" s="323" t="s">
        <v>501</v>
      </c>
    </row>
    <row r="24" spans="2:7" x14ac:dyDescent="0.2">
      <c r="D24" s="323" t="s">
        <v>496</v>
      </c>
      <c r="E24" s="323" t="s">
        <v>497</v>
      </c>
      <c r="F24" s="323" t="s">
        <v>498</v>
      </c>
      <c r="G24" s="323" t="s">
        <v>244</v>
      </c>
    </row>
    <row r="25" spans="2:7" x14ac:dyDescent="0.2">
      <c r="B25" s="323" t="s">
        <v>106</v>
      </c>
      <c r="C25" s="323" t="s">
        <v>499</v>
      </c>
      <c r="D25" s="327">
        <v>7</v>
      </c>
      <c r="E25" s="327">
        <v>1430000</v>
      </c>
      <c r="F25" s="323">
        <f>E25*D25</f>
        <v>10010000</v>
      </c>
      <c r="G25" s="334">
        <f>F25/F28</f>
        <v>0.18533604887983707</v>
      </c>
    </row>
    <row r="26" spans="2:7" x14ac:dyDescent="0.2">
      <c r="B26" s="323" t="s">
        <v>495</v>
      </c>
      <c r="C26" s="323" t="s">
        <v>500</v>
      </c>
      <c r="D26" s="327">
        <v>2</v>
      </c>
      <c r="E26" s="327">
        <v>22000000</v>
      </c>
      <c r="F26" s="323">
        <f>E26*D26</f>
        <v>44000000</v>
      </c>
      <c r="G26" s="334">
        <f>F26/F28</f>
        <v>0.81466395112016299</v>
      </c>
    </row>
    <row r="28" spans="2:7" x14ac:dyDescent="0.2">
      <c r="E28" s="323" t="s">
        <v>262</v>
      </c>
      <c r="F28" s="323">
        <f>SUM(F25:F26)</f>
        <v>54010000</v>
      </c>
    </row>
    <row r="30" spans="2:7" x14ac:dyDescent="0.2">
      <c r="B30" s="336" t="s">
        <v>517</v>
      </c>
    </row>
    <row r="31" spans="2:7" s="328" customFormat="1" ht="13.5" thickBot="1" x14ac:dyDescent="0.25"/>
  </sheetData>
  <pageMargins left="0.7" right="0.7" top="0.75" bottom="0.75" header="0.3" footer="0.3"/>
  <pageSetup scale="95" orientation="landscape" r:id="rId1"/>
  <colBreaks count="1" manualBreakCount="1">
    <brk id="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4"/>
  <sheetViews>
    <sheetView workbookViewId="0">
      <selection activeCell="B9" sqref="B9"/>
    </sheetView>
  </sheetViews>
  <sheetFormatPr defaultRowHeight="12.75" x14ac:dyDescent="0.2"/>
  <cols>
    <col min="1" max="1" width="4.85546875" customWidth="1"/>
    <col min="2" max="2" width="32.28515625" customWidth="1"/>
    <col min="3" max="3" width="10.28515625" bestFit="1" customWidth="1"/>
    <col min="4" max="4" width="11.5703125" bestFit="1" customWidth="1"/>
    <col min="5" max="5" width="8.28515625" style="6" bestFit="1" customWidth="1"/>
    <col min="6" max="6" width="4.140625" customWidth="1"/>
    <col min="9" max="9" width="12.7109375" customWidth="1"/>
    <col min="10" max="10" width="31.140625" customWidth="1"/>
    <col min="11" max="11" width="11.85546875" style="411" customWidth="1"/>
    <col min="12" max="12" width="14.42578125" style="6" customWidth="1"/>
    <col min="13" max="13" width="8.28515625" style="6" bestFit="1" customWidth="1"/>
    <col min="14" max="14" width="4.140625" customWidth="1"/>
    <col min="15" max="15" width="9.5703125" bestFit="1" customWidth="1"/>
    <col min="17" max="17" width="4.28515625" customWidth="1"/>
  </cols>
  <sheetData>
    <row r="1" spans="1:13" ht="25.5" x14ac:dyDescent="0.2">
      <c r="B1" s="26" t="s">
        <v>614</v>
      </c>
      <c r="C1" s="152" t="s">
        <v>169</v>
      </c>
      <c r="D1" s="151" t="s">
        <v>59</v>
      </c>
      <c r="E1" s="413" t="s">
        <v>612</v>
      </c>
      <c r="J1" s="26" t="s">
        <v>414</v>
      </c>
      <c r="K1" s="152" t="s">
        <v>169</v>
      </c>
      <c r="L1" s="151" t="s">
        <v>59</v>
      </c>
      <c r="M1" s="413" t="s">
        <v>612</v>
      </c>
    </row>
    <row r="2" spans="1:13" x14ac:dyDescent="0.2">
      <c r="B2" t="s">
        <v>619</v>
      </c>
      <c r="C2" s="204">
        <v>2.2333333333333339E-4</v>
      </c>
      <c r="D2" s="203" t="s">
        <v>300</v>
      </c>
      <c r="E2" s="6" t="s">
        <v>556</v>
      </c>
      <c r="J2" t="s">
        <v>617</v>
      </c>
      <c r="K2" s="399">
        <v>0.49648939142444043</v>
      </c>
      <c r="L2" s="167" t="s">
        <v>0</v>
      </c>
      <c r="M2" s="6" t="s">
        <v>556</v>
      </c>
    </row>
    <row r="3" spans="1:13" x14ac:dyDescent="0.2">
      <c r="B3" s="3" t="s">
        <v>618</v>
      </c>
      <c r="C3" s="228">
        <v>2.5237966158369094E-5</v>
      </c>
      <c r="D3" s="227" t="s">
        <v>427</v>
      </c>
      <c r="E3" s="6" t="s">
        <v>556</v>
      </c>
      <c r="J3" t="s">
        <v>616</v>
      </c>
      <c r="K3" s="399">
        <v>0.28588835858661427</v>
      </c>
      <c r="L3" s="167" t="s">
        <v>2</v>
      </c>
      <c r="M3" s="6" t="s">
        <v>556</v>
      </c>
    </row>
    <row r="4" spans="1:13" x14ac:dyDescent="0.2">
      <c r="C4" s="228">
        <v>2.5237966158369094E-4</v>
      </c>
      <c r="D4" s="227" t="s">
        <v>428</v>
      </c>
      <c r="E4" s="6" t="s">
        <v>556</v>
      </c>
      <c r="K4" s="399">
        <v>0.2329837513036821</v>
      </c>
      <c r="L4" s="167" t="s">
        <v>3</v>
      </c>
      <c r="M4" s="6" t="s">
        <v>556</v>
      </c>
    </row>
    <row r="5" spans="1:13" x14ac:dyDescent="0.2">
      <c r="C5" s="165">
        <v>0.51422115540388469</v>
      </c>
      <c r="D5" s="166" t="s">
        <v>0</v>
      </c>
      <c r="E5" s="6" t="s">
        <v>556</v>
      </c>
      <c r="K5" s="399">
        <v>0.2329837513036821</v>
      </c>
      <c r="L5" s="167" t="s">
        <v>4</v>
      </c>
      <c r="M5" s="6" t="s">
        <v>556</v>
      </c>
    </row>
    <row r="6" spans="1:13" x14ac:dyDescent="0.2">
      <c r="C6" s="204">
        <v>2.2333333333333339E-4</v>
      </c>
      <c r="D6" s="203" t="s">
        <v>276</v>
      </c>
      <c r="E6" s="6" t="s">
        <v>556</v>
      </c>
      <c r="K6" s="399">
        <v>8.8513477569521173E-2</v>
      </c>
      <c r="L6" s="167" t="s">
        <v>5</v>
      </c>
      <c r="M6" s="6" t="s">
        <v>556</v>
      </c>
    </row>
    <row r="7" spans="1:13" x14ac:dyDescent="0.2">
      <c r="C7" s="165">
        <v>0.29609865710756478</v>
      </c>
      <c r="D7" s="166" t="s">
        <v>2</v>
      </c>
      <c r="E7" s="6" t="s">
        <v>556</v>
      </c>
      <c r="K7" s="399">
        <v>0.2543490734756354</v>
      </c>
      <c r="L7" s="167" t="s">
        <v>6</v>
      </c>
      <c r="M7" s="6" t="s">
        <v>556</v>
      </c>
    </row>
    <row r="8" spans="1:13" x14ac:dyDescent="0.2">
      <c r="C8" s="165">
        <v>0.24130459956452785</v>
      </c>
      <c r="D8" s="166" t="s">
        <v>3</v>
      </c>
      <c r="E8" s="6" t="s">
        <v>556</v>
      </c>
      <c r="K8" s="399">
        <v>0.25434907347563546</v>
      </c>
      <c r="L8" s="167" t="s">
        <v>7</v>
      </c>
      <c r="M8" s="6" t="s">
        <v>556</v>
      </c>
    </row>
    <row r="9" spans="1:13" x14ac:dyDescent="0.2">
      <c r="C9" s="165">
        <v>0.24130459956452785</v>
      </c>
      <c r="D9" s="166" t="s">
        <v>4</v>
      </c>
      <c r="E9" s="6" t="s">
        <v>556</v>
      </c>
      <c r="K9" s="399">
        <v>0.59212464305127932</v>
      </c>
      <c r="L9" s="167" t="s">
        <v>8</v>
      </c>
      <c r="M9" s="6" t="s">
        <v>556</v>
      </c>
    </row>
    <row r="10" spans="1:13" x14ac:dyDescent="0.2">
      <c r="A10" s="21"/>
      <c r="C10" s="214">
        <v>79.302794000000006</v>
      </c>
      <c r="D10" s="213" t="s">
        <v>167</v>
      </c>
      <c r="E10" s="6" t="s">
        <v>556</v>
      </c>
      <c r="K10" s="399">
        <v>9.1565666451228753E-2</v>
      </c>
      <c r="L10" s="167" t="s">
        <v>9</v>
      </c>
      <c r="M10" s="6" t="s">
        <v>556</v>
      </c>
    </row>
    <row r="11" spans="1:13" x14ac:dyDescent="0.2">
      <c r="C11" s="204">
        <v>1.9999999999999999E-6</v>
      </c>
      <c r="D11" s="203" t="s">
        <v>423</v>
      </c>
      <c r="E11" s="6" t="s">
        <v>556</v>
      </c>
      <c r="K11" s="399">
        <v>0.28080137711710151</v>
      </c>
      <c r="L11" s="167" t="s">
        <v>10</v>
      </c>
      <c r="M11" s="6" t="s">
        <v>556</v>
      </c>
    </row>
    <row r="12" spans="1:13" x14ac:dyDescent="0.2">
      <c r="C12" s="228">
        <v>5.0475932316738194E-3</v>
      </c>
      <c r="D12" s="227" t="s">
        <v>178</v>
      </c>
      <c r="E12" s="6" t="s">
        <v>556</v>
      </c>
      <c r="K12" s="399">
        <v>0.43544561379028784</v>
      </c>
      <c r="L12" s="167" t="s">
        <v>11</v>
      </c>
      <c r="M12" s="6" t="s">
        <v>556</v>
      </c>
    </row>
    <row r="13" spans="1:13" x14ac:dyDescent="0.2">
      <c r="C13" s="228">
        <v>5.0475932316738185E-3</v>
      </c>
      <c r="D13" s="227" t="s">
        <v>184</v>
      </c>
      <c r="E13" s="6" t="s">
        <v>556</v>
      </c>
      <c r="K13" s="399">
        <v>0.33167119181222859</v>
      </c>
      <c r="L13" s="167" t="s">
        <v>12</v>
      </c>
      <c r="M13" s="6" t="s">
        <v>556</v>
      </c>
    </row>
    <row r="14" spans="1:13" x14ac:dyDescent="0.2">
      <c r="C14" s="204">
        <v>1.6750000000000003E-4</v>
      </c>
      <c r="D14" s="203" t="s">
        <v>27</v>
      </c>
      <c r="E14" s="6" t="s">
        <v>556</v>
      </c>
      <c r="K14" s="399">
        <v>0.14853985890977109</v>
      </c>
      <c r="L14" s="167" t="s">
        <v>13</v>
      </c>
      <c r="M14" s="6" t="s">
        <v>556</v>
      </c>
    </row>
    <row r="15" spans="1:13" x14ac:dyDescent="0.2">
      <c r="C15" s="228">
        <v>2.4396700619756796E-5</v>
      </c>
      <c r="D15" s="227" t="s">
        <v>193</v>
      </c>
      <c r="E15" s="6" t="s">
        <v>556</v>
      </c>
      <c r="K15" s="399">
        <v>0.17906174772684735</v>
      </c>
      <c r="L15" s="167" t="s">
        <v>14</v>
      </c>
      <c r="M15" s="6" t="s">
        <v>556</v>
      </c>
    </row>
    <row r="16" spans="1:13" x14ac:dyDescent="0.2">
      <c r="C16" s="191">
        <v>7.8497571973755134E-2</v>
      </c>
      <c r="D16" s="189" t="s">
        <v>40</v>
      </c>
      <c r="E16" s="6" t="s">
        <v>556</v>
      </c>
      <c r="K16" s="399">
        <v>0.21365322171953377</v>
      </c>
      <c r="L16" s="167" t="s">
        <v>15</v>
      </c>
      <c r="M16" s="6" t="s">
        <v>556</v>
      </c>
    </row>
    <row r="17" spans="1:16" x14ac:dyDescent="0.2">
      <c r="C17" s="228">
        <v>6.873139450462517E-4</v>
      </c>
      <c r="D17" s="227" t="s">
        <v>321</v>
      </c>
      <c r="E17" s="6" t="s">
        <v>556</v>
      </c>
      <c r="K17" s="399">
        <v>0.20856624025002102</v>
      </c>
      <c r="L17" s="167" t="s">
        <v>16</v>
      </c>
      <c r="M17" s="6" t="s">
        <v>556</v>
      </c>
    </row>
    <row r="18" spans="1:16" x14ac:dyDescent="0.2">
      <c r="C18" s="165">
        <v>9.1674673197004064E-2</v>
      </c>
      <c r="D18" s="166" t="s">
        <v>5</v>
      </c>
      <c r="E18" s="6" t="s">
        <v>556</v>
      </c>
      <c r="K18" s="399">
        <v>0.24519250683051255</v>
      </c>
      <c r="L18" s="167" t="s">
        <v>17</v>
      </c>
      <c r="M18" s="6" t="s">
        <v>556</v>
      </c>
    </row>
    <row r="19" spans="1:16" x14ac:dyDescent="0.2">
      <c r="C19" s="177">
        <v>3.3630690049604381E-2</v>
      </c>
      <c r="D19" s="175" t="s">
        <v>34</v>
      </c>
      <c r="E19" s="6" t="s">
        <v>556</v>
      </c>
      <c r="K19" s="399">
        <v>5.493939987073726E-2</v>
      </c>
      <c r="L19" s="167" t="s">
        <v>18</v>
      </c>
      <c r="M19" s="6" t="s">
        <v>556</v>
      </c>
    </row>
    <row r="20" spans="1:16" x14ac:dyDescent="0.2">
      <c r="C20" s="177">
        <v>4.9326118163529269E-2</v>
      </c>
      <c r="D20" s="175" t="s">
        <v>36</v>
      </c>
      <c r="E20" s="6" t="s">
        <v>556</v>
      </c>
      <c r="K20" s="399">
        <v>0.13327891450123297</v>
      </c>
      <c r="L20" s="167" t="s">
        <v>19</v>
      </c>
      <c r="M20" s="6" t="s">
        <v>556</v>
      </c>
    </row>
    <row r="21" spans="1:16" x14ac:dyDescent="0.2">
      <c r="C21" s="177">
        <v>4.9326118163529269E-2</v>
      </c>
      <c r="D21" s="175" t="s">
        <v>37</v>
      </c>
      <c r="E21" s="6" t="s">
        <v>556</v>
      </c>
      <c r="K21" s="399">
        <v>0.40899331014882179</v>
      </c>
      <c r="L21" s="167" t="s">
        <v>20</v>
      </c>
      <c r="M21" s="6" t="s">
        <v>556</v>
      </c>
    </row>
    <row r="22" spans="1:16" x14ac:dyDescent="0.2">
      <c r="C22" s="177">
        <v>3.3630690049604381E-2</v>
      </c>
      <c r="D22" s="175" t="s">
        <v>38</v>
      </c>
      <c r="E22" s="6" t="s">
        <v>556</v>
      </c>
      <c r="K22" s="400">
        <v>3.231183945942382E-2</v>
      </c>
      <c r="L22" s="88" t="s">
        <v>34</v>
      </c>
      <c r="M22" s="6" t="s">
        <v>556</v>
      </c>
    </row>
    <row r="23" spans="1:16" x14ac:dyDescent="0.2">
      <c r="C23" s="204">
        <v>2.2333333333333339E-4</v>
      </c>
      <c r="D23" s="203" t="s">
        <v>28</v>
      </c>
      <c r="E23" s="6" t="s">
        <v>556</v>
      </c>
      <c r="K23" s="400">
        <v>4.7391760588488915E-2</v>
      </c>
      <c r="L23" s="88" t="s">
        <v>36</v>
      </c>
      <c r="M23" s="6" t="s">
        <v>556</v>
      </c>
    </row>
    <row r="24" spans="1:16" x14ac:dyDescent="0.2">
      <c r="C24" s="228">
        <v>1.4082785116369999E-2</v>
      </c>
      <c r="D24" s="227" t="s">
        <v>180</v>
      </c>
      <c r="E24" s="6" t="s">
        <v>556</v>
      </c>
      <c r="K24" s="400">
        <v>4.7391760588488915E-2</v>
      </c>
      <c r="L24" s="88" t="s">
        <v>37</v>
      </c>
      <c r="M24" s="6" t="s">
        <v>556</v>
      </c>
    </row>
    <row r="25" spans="1:16" x14ac:dyDescent="0.2">
      <c r="C25" s="165">
        <v>0.2634329689569081</v>
      </c>
      <c r="D25" s="166" t="s">
        <v>6</v>
      </c>
      <c r="E25" s="6" t="s">
        <v>556</v>
      </c>
      <c r="K25" s="400">
        <v>3.231183945942382E-2</v>
      </c>
      <c r="L25" s="88" t="s">
        <v>38</v>
      </c>
      <c r="M25" s="6" t="s">
        <v>556</v>
      </c>
    </row>
    <row r="26" spans="1:16" x14ac:dyDescent="0.2">
      <c r="C26" s="165">
        <v>0.2634329689569081</v>
      </c>
      <c r="D26" s="166" t="s">
        <v>7</v>
      </c>
      <c r="E26" s="6" t="s">
        <v>556</v>
      </c>
      <c r="K26" s="401">
        <v>7.5407116384237208E-2</v>
      </c>
      <c r="L26" s="248" t="s">
        <v>40</v>
      </c>
      <c r="M26" s="6" t="s">
        <v>556</v>
      </c>
      <c r="O26" s="3" t="s">
        <v>615</v>
      </c>
    </row>
    <row r="27" spans="1:16" ht="13.5" thickBot="1" x14ac:dyDescent="0.25">
      <c r="C27" s="165">
        <v>0.61327195173168192</v>
      </c>
      <c r="D27" s="166" t="s">
        <v>8</v>
      </c>
      <c r="E27" s="6" t="s">
        <v>556</v>
      </c>
      <c r="K27" s="401">
        <v>0.1214892430634933</v>
      </c>
      <c r="L27" s="248" t="s">
        <v>42</v>
      </c>
      <c r="M27" s="6" t="s">
        <v>556</v>
      </c>
    </row>
    <row r="28" spans="1:16" x14ac:dyDescent="0.2">
      <c r="C28" s="191">
        <v>0.12646831040216105</v>
      </c>
      <c r="D28" s="189" t="s">
        <v>42</v>
      </c>
      <c r="E28" s="6" t="s">
        <v>556</v>
      </c>
      <c r="K28" s="401">
        <v>8.1391808160763968E-2</v>
      </c>
      <c r="L28" s="248" t="s">
        <v>43</v>
      </c>
      <c r="M28" s="6" t="s">
        <v>556</v>
      </c>
      <c r="O28" s="381">
        <v>1.8303032263677268E-2</v>
      </c>
      <c r="P28" s="386" t="s">
        <v>489</v>
      </c>
    </row>
    <row r="29" spans="1:16" x14ac:dyDescent="0.2">
      <c r="A29" s="21"/>
      <c r="C29" s="214">
        <v>73.845986999999994</v>
      </c>
      <c r="D29" s="213" t="s">
        <v>168</v>
      </c>
      <c r="E29" s="6" t="s">
        <v>556</v>
      </c>
      <c r="G29" s="3" t="s">
        <v>615</v>
      </c>
      <c r="K29" s="402">
        <v>0.18502414565100742</v>
      </c>
      <c r="L29" s="229" t="s">
        <v>23</v>
      </c>
      <c r="M29" s="6" t="s">
        <v>556</v>
      </c>
      <c r="O29" s="383">
        <v>5.5240159390116401E-2</v>
      </c>
      <c r="P29" s="384" t="s">
        <v>157</v>
      </c>
    </row>
    <row r="30" spans="1:16" ht="13.5" thickBot="1" x14ac:dyDescent="0.25">
      <c r="C30" s="165">
        <v>9.4835868824486913E-2</v>
      </c>
      <c r="D30" s="166" t="s">
        <v>9</v>
      </c>
      <c r="E30" s="6" t="s">
        <v>556</v>
      </c>
      <c r="K30" s="403">
        <v>6.4569729023904055E-3</v>
      </c>
      <c r="L30" s="404" t="s">
        <v>127</v>
      </c>
      <c r="M30" s="6" t="s">
        <v>554</v>
      </c>
      <c r="O30" s="383">
        <v>8.0889628376337674E-2</v>
      </c>
      <c r="P30" s="384" t="s">
        <v>158</v>
      </c>
    </row>
    <row r="31" spans="1:16" x14ac:dyDescent="0.2">
      <c r="C31" s="165">
        <v>0.29082999772842655</v>
      </c>
      <c r="D31" s="166" t="s">
        <v>10</v>
      </c>
      <c r="E31" s="6" t="s">
        <v>556</v>
      </c>
      <c r="G31" s="381">
        <v>0.10493272314236</v>
      </c>
      <c r="H31" s="382" t="s">
        <v>157</v>
      </c>
      <c r="K31" s="403">
        <v>1.6142432255976018E-3</v>
      </c>
      <c r="L31" s="404" t="s">
        <v>128</v>
      </c>
      <c r="M31" s="6" t="s">
        <v>554</v>
      </c>
      <c r="O31" s="383">
        <v>3.2318015624925407E-3</v>
      </c>
      <c r="P31" s="384" t="s">
        <v>159</v>
      </c>
    </row>
    <row r="32" spans="1:16" x14ac:dyDescent="0.2">
      <c r="C32" s="228">
        <v>0.18928474618776825</v>
      </c>
      <c r="D32" s="227" t="s">
        <v>175</v>
      </c>
      <c r="E32" s="6" t="s">
        <v>556</v>
      </c>
      <c r="G32" s="383">
        <v>0.11976261549224435</v>
      </c>
      <c r="H32" s="384" t="s">
        <v>158</v>
      </c>
      <c r="K32" s="403">
        <v>6.5376850636702866E-3</v>
      </c>
      <c r="L32" s="404" t="s">
        <v>137</v>
      </c>
      <c r="M32" s="6" t="s">
        <v>554</v>
      </c>
      <c r="O32" s="383">
        <v>4.392622513582212E-3</v>
      </c>
      <c r="P32" s="387" t="s">
        <v>490</v>
      </c>
    </row>
    <row r="33" spans="3:16" x14ac:dyDescent="0.2">
      <c r="C33" s="214">
        <v>2.3369146096836307E-2</v>
      </c>
      <c r="D33" s="337" t="s">
        <v>346</v>
      </c>
      <c r="E33" s="10" t="s">
        <v>555</v>
      </c>
      <c r="G33" s="59"/>
      <c r="H33" s="76"/>
      <c r="K33" s="403">
        <v>7.2640945151892069E-4</v>
      </c>
      <c r="L33" s="404" t="s">
        <v>141</v>
      </c>
      <c r="M33" s="6" t="s">
        <v>554</v>
      </c>
      <c r="O33" s="383">
        <v>1.3257320661147352E-2</v>
      </c>
      <c r="P33" s="384" t="s">
        <v>160</v>
      </c>
    </row>
    <row r="34" spans="3:16" x14ac:dyDescent="0.2">
      <c r="C34" s="165">
        <v>0.45099724285422665</v>
      </c>
      <c r="D34" s="166" t="s">
        <v>11</v>
      </c>
      <c r="E34" s="6" t="s">
        <v>556</v>
      </c>
      <c r="G34" s="310" t="s">
        <v>538</v>
      </c>
      <c r="H34" s="76"/>
      <c r="K34" s="403">
        <v>8.071216127988008E-4</v>
      </c>
      <c r="L34" s="404" t="s">
        <v>139</v>
      </c>
      <c r="M34" s="6" t="s">
        <v>554</v>
      </c>
      <c r="O34" s="383">
        <v>1.9413045751240601E-2</v>
      </c>
      <c r="P34" s="384" t="s">
        <v>161</v>
      </c>
    </row>
    <row r="35" spans="3:16" x14ac:dyDescent="0.2">
      <c r="C35" s="165">
        <v>0.34351659151980818</v>
      </c>
      <c r="D35" s="166" t="s">
        <v>12</v>
      </c>
      <c r="E35" s="6" t="s">
        <v>556</v>
      </c>
      <c r="G35" s="59">
        <v>0.35</v>
      </c>
      <c r="H35" s="99" t="s">
        <v>536</v>
      </c>
      <c r="K35" s="405">
        <v>1.3206678069505783E-2</v>
      </c>
      <c r="L35" s="406" t="s">
        <v>488</v>
      </c>
      <c r="M35" s="6" t="s">
        <v>555</v>
      </c>
      <c r="O35" s="383">
        <v>7.7561379438790157E-4</v>
      </c>
      <c r="P35" s="384" t="s">
        <v>162</v>
      </c>
    </row>
    <row r="36" spans="3:16" ht="13.5" thickBot="1" x14ac:dyDescent="0.25">
      <c r="C36" s="165">
        <v>0.1538448538708343</v>
      </c>
      <c r="D36" s="166" t="s">
        <v>13</v>
      </c>
      <c r="E36" s="6" t="s">
        <v>556</v>
      </c>
      <c r="G36" s="70">
        <v>0.65</v>
      </c>
      <c r="H36" s="385" t="s">
        <v>537</v>
      </c>
      <c r="K36" s="407">
        <f>O28*$O$43</f>
        <v>5.1248490338296352E-3</v>
      </c>
      <c r="L36" s="408" t="s">
        <v>489</v>
      </c>
      <c r="M36" s="6" t="s">
        <v>556</v>
      </c>
      <c r="O36" s="59"/>
      <c r="P36" s="76"/>
    </row>
    <row r="37" spans="3:16" x14ac:dyDescent="0.2">
      <c r="C37" s="228">
        <v>8.4126553861230326E-3</v>
      </c>
      <c r="D37" s="227" t="s">
        <v>179</v>
      </c>
      <c r="E37" s="6" t="s">
        <v>556</v>
      </c>
      <c r="K37" s="407">
        <f>O29*$O$43</f>
        <v>1.5467244629232595E-2</v>
      </c>
      <c r="L37" s="222" t="s">
        <v>157</v>
      </c>
      <c r="M37" s="6" t="s">
        <v>556</v>
      </c>
      <c r="O37" s="59"/>
      <c r="P37" s="76"/>
    </row>
    <row r="38" spans="3:16" x14ac:dyDescent="0.2">
      <c r="C38" s="204">
        <v>2.2333333333333339E-4</v>
      </c>
      <c r="D38" s="203" t="s">
        <v>339</v>
      </c>
      <c r="E38" s="6" t="s">
        <v>556</v>
      </c>
      <c r="K38" s="407">
        <f>O30*$O$43</f>
        <v>2.2649095945374551E-2</v>
      </c>
      <c r="L38" s="222" t="s">
        <v>158</v>
      </c>
      <c r="M38" s="6" t="s">
        <v>556</v>
      </c>
      <c r="O38" s="59" t="s">
        <v>154</v>
      </c>
      <c r="P38" s="76"/>
    </row>
    <row r="39" spans="3:16" x14ac:dyDescent="0.2">
      <c r="C39" s="228">
        <v>6.7048863427400572E-4</v>
      </c>
      <c r="D39" s="227" t="s">
        <v>182</v>
      </c>
      <c r="E39" s="6" t="s">
        <v>556</v>
      </c>
      <c r="K39" s="407">
        <f>O31*$O$43</f>
        <v>9.0490443749791148E-4</v>
      </c>
      <c r="L39" s="222" t="s">
        <v>159</v>
      </c>
      <c r="M39" s="6" t="s">
        <v>556</v>
      </c>
      <c r="O39" s="59">
        <v>0.54</v>
      </c>
      <c r="P39" s="99" t="s">
        <v>536</v>
      </c>
    </row>
    <row r="40" spans="3:16" x14ac:dyDescent="0.2">
      <c r="C40" s="228">
        <v>6.7301243088984265E-6</v>
      </c>
      <c r="D40" s="227" t="s">
        <v>197</v>
      </c>
      <c r="E40" s="6" t="s">
        <v>556</v>
      </c>
      <c r="K40" s="407">
        <f>O32*$O$39</f>
        <v>2.3720161573343944E-3</v>
      </c>
      <c r="L40" s="408" t="s">
        <v>490</v>
      </c>
      <c r="M40" s="6" t="s">
        <v>556</v>
      </c>
      <c r="O40" s="59">
        <f>1-O39</f>
        <v>0.45999999999999996</v>
      </c>
      <c r="P40" s="99" t="s">
        <v>537</v>
      </c>
    </row>
    <row r="41" spans="3:16" x14ac:dyDescent="0.2">
      <c r="C41" s="228">
        <v>6.7301243088984265E-6</v>
      </c>
      <c r="D41" s="238" t="s">
        <v>458</v>
      </c>
      <c r="E41" s="6" t="s">
        <v>556</v>
      </c>
      <c r="K41" s="407">
        <f>O33*$O$39</f>
        <v>7.1589531570195701E-3</v>
      </c>
      <c r="L41" s="222" t="s">
        <v>160</v>
      </c>
      <c r="M41" s="6" t="s">
        <v>556</v>
      </c>
      <c r="O41" s="59"/>
      <c r="P41" s="76"/>
    </row>
    <row r="42" spans="3:16" x14ac:dyDescent="0.2">
      <c r="C42" s="204">
        <v>2.2333333333333339E-4</v>
      </c>
      <c r="D42" s="203" t="s">
        <v>324</v>
      </c>
      <c r="E42" s="6" t="s">
        <v>556</v>
      </c>
      <c r="K42" s="407">
        <f>O34*$O$39</f>
        <v>1.0483044705669926E-2</v>
      </c>
      <c r="L42" s="222" t="s">
        <v>161</v>
      </c>
      <c r="M42" s="6" t="s">
        <v>556</v>
      </c>
      <c r="O42" s="59" t="s">
        <v>153</v>
      </c>
      <c r="P42" s="76"/>
    </row>
    <row r="43" spans="3:16" x14ac:dyDescent="0.2">
      <c r="C43" s="204">
        <v>1.6377437596679714E-2</v>
      </c>
      <c r="D43" s="205" t="s">
        <v>344</v>
      </c>
      <c r="E43" s="10" t="s">
        <v>554</v>
      </c>
      <c r="K43" s="407">
        <f>O35*$O$39</f>
        <v>4.188314489694669E-4</v>
      </c>
      <c r="L43" s="222" t="s">
        <v>162</v>
      </c>
      <c r="M43" s="6" t="s">
        <v>556</v>
      </c>
      <c r="O43" s="59">
        <v>0.28000000000000003</v>
      </c>
      <c r="P43" s="99" t="s">
        <v>536</v>
      </c>
    </row>
    <row r="44" spans="3:16" ht="13.5" thickBot="1" x14ac:dyDescent="0.25">
      <c r="C44" s="204">
        <v>1.7866666666666671E-3</v>
      </c>
      <c r="D44" s="203" t="s">
        <v>29</v>
      </c>
      <c r="E44" s="6" t="s">
        <v>556</v>
      </c>
      <c r="K44" s="407">
        <f t="shared" ref="K44:K51" si="0">O28-K36</f>
        <v>1.3178183229847634E-2</v>
      </c>
      <c r="L44" s="408" t="s">
        <v>489</v>
      </c>
      <c r="M44" s="6" t="s">
        <v>554</v>
      </c>
      <c r="O44" s="70">
        <f>1-O43</f>
        <v>0.72</v>
      </c>
      <c r="P44" s="385" t="s">
        <v>537</v>
      </c>
    </row>
    <row r="45" spans="3:16" x14ac:dyDescent="0.2">
      <c r="C45" s="204">
        <v>1.1166666666666669E-4</v>
      </c>
      <c r="D45" s="203" t="s">
        <v>31</v>
      </c>
      <c r="E45" s="6" t="s">
        <v>556</v>
      </c>
      <c r="K45" s="407">
        <f t="shared" si="0"/>
        <v>3.9772914760883807E-2</v>
      </c>
      <c r="L45" s="222" t="s">
        <v>157</v>
      </c>
      <c r="M45" s="6" t="s">
        <v>554</v>
      </c>
    </row>
    <row r="46" spans="3:16" x14ac:dyDescent="0.2">
      <c r="C46" s="228">
        <v>1.2618983079184548E-2</v>
      </c>
      <c r="D46" s="227" t="s">
        <v>177</v>
      </c>
      <c r="E46" s="6" t="s">
        <v>556</v>
      </c>
      <c r="K46" s="407">
        <f t="shared" si="0"/>
        <v>5.8240532430963124E-2</v>
      </c>
      <c r="L46" s="222" t="s">
        <v>158</v>
      </c>
      <c r="M46" s="6" t="s">
        <v>554</v>
      </c>
    </row>
    <row r="47" spans="3:16" x14ac:dyDescent="0.2">
      <c r="C47" s="228">
        <v>3.1295078036377673E-4</v>
      </c>
      <c r="D47" s="238" t="s">
        <v>468</v>
      </c>
      <c r="E47" s="6" t="s">
        <v>556</v>
      </c>
      <c r="K47" s="407">
        <f t="shared" si="0"/>
        <v>2.3268971249946293E-3</v>
      </c>
      <c r="L47" s="222" t="s">
        <v>159</v>
      </c>
      <c r="M47" s="6" t="s">
        <v>554</v>
      </c>
    </row>
    <row r="48" spans="3:16" x14ac:dyDescent="0.2">
      <c r="C48" s="221">
        <f>G35*G31</f>
        <v>3.6726453099826001E-2</v>
      </c>
      <c r="D48" s="220" t="s">
        <v>157</v>
      </c>
      <c r="E48" s="6" t="s">
        <v>556</v>
      </c>
      <c r="K48" s="407">
        <f t="shared" si="0"/>
        <v>2.0206063562478176E-3</v>
      </c>
      <c r="L48" s="408" t="s">
        <v>490</v>
      </c>
      <c r="M48" s="6" t="s">
        <v>554</v>
      </c>
    </row>
    <row r="49" spans="3:13" x14ac:dyDescent="0.2">
      <c r="C49" s="221">
        <f>G35*G32</f>
        <v>4.1916915422285518E-2</v>
      </c>
      <c r="D49" s="220" t="s">
        <v>158</v>
      </c>
      <c r="E49" s="6" t="s">
        <v>556</v>
      </c>
      <c r="K49" s="407">
        <f t="shared" si="0"/>
        <v>6.0983675041277816E-3</v>
      </c>
      <c r="L49" s="222" t="s">
        <v>160</v>
      </c>
      <c r="M49" s="6" t="s">
        <v>554</v>
      </c>
    </row>
    <row r="50" spans="3:13" x14ac:dyDescent="0.2">
      <c r="C50" s="221">
        <f>G36*G31</f>
        <v>6.8206270042534003E-2</v>
      </c>
      <c r="D50" s="220" t="s">
        <v>157</v>
      </c>
      <c r="E50" s="6" t="s">
        <v>554</v>
      </c>
      <c r="K50" s="407">
        <f t="shared" si="0"/>
        <v>8.9300010455706756E-3</v>
      </c>
      <c r="L50" s="222" t="s">
        <v>161</v>
      </c>
      <c r="M50" s="6" t="s">
        <v>554</v>
      </c>
    </row>
    <row r="51" spans="3:13" x14ac:dyDescent="0.2">
      <c r="C51" s="221">
        <f>G36*G32</f>
        <v>7.784570006995882E-2</v>
      </c>
      <c r="D51" s="220" t="s">
        <v>158</v>
      </c>
      <c r="E51" s="6" t="s">
        <v>554</v>
      </c>
      <c r="K51" s="407">
        <f t="shared" si="0"/>
        <v>3.5678234541843467E-4</v>
      </c>
      <c r="L51" s="222" t="s">
        <v>162</v>
      </c>
      <c r="M51" s="6" t="s">
        <v>554</v>
      </c>
    </row>
    <row r="52" spans="3:13" x14ac:dyDescent="0.2">
      <c r="C52" s="165">
        <v>0.18545681014566331</v>
      </c>
      <c r="D52" s="166" t="s">
        <v>14</v>
      </c>
      <c r="E52" s="6" t="s">
        <v>556</v>
      </c>
      <c r="K52" s="407">
        <v>1.2201862070178281E-3</v>
      </c>
      <c r="L52" s="408" t="s">
        <v>487</v>
      </c>
      <c r="M52" s="6" t="s">
        <v>554</v>
      </c>
    </row>
    <row r="53" spans="3:13" x14ac:dyDescent="0.2">
      <c r="C53" s="204">
        <v>2.2333333333333339E-4</v>
      </c>
      <c r="D53" s="203" t="s">
        <v>343</v>
      </c>
      <c r="E53" s="6" t="s">
        <v>556</v>
      </c>
      <c r="K53" s="407">
        <v>3.6826291726016112E-3</v>
      </c>
      <c r="L53" s="222" t="s">
        <v>163</v>
      </c>
      <c r="M53" s="6" t="s">
        <v>554</v>
      </c>
    </row>
    <row r="54" spans="3:13" x14ac:dyDescent="0.2">
      <c r="C54" s="165">
        <v>0.22128369392380282</v>
      </c>
      <c r="D54" s="166" t="s">
        <v>15</v>
      </c>
      <c r="E54" s="6" t="s">
        <v>556</v>
      </c>
      <c r="K54" s="407">
        <v>5.3925714282588083E-3</v>
      </c>
      <c r="L54" s="222" t="s">
        <v>164</v>
      </c>
      <c r="M54" s="6" t="s">
        <v>554</v>
      </c>
    </row>
    <row r="55" spans="3:13" x14ac:dyDescent="0.2">
      <c r="C55" s="204">
        <v>2.2333333333333339E-4</v>
      </c>
      <c r="D55" s="203" t="s">
        <v>314</v>
      </c>
      <c r="E55" s="6" t="s">
        <v>556</v>
      </c>
      <c r="K55" s="407">
        <v>2.1545062225551665E-4</v>
      </c>
      <c r="L55" s="222" t="s">
        <v>165</v>
      </c>
      <c r="M55" s="6" t="s">
        <v>554</v>
      </c>
    </row>
    <row r="56" spans="3:13" x14ac:dyDescent="0.2">
      <c r="C56" s="204">
        <v>2.2333333333333339E-4</v>
      </c>
      <c r="D56" s="203" t="s">
        <v>297</v>
      </c>
      <c r="E56" s="6" t="s">
        <v>556</v>
      </c>
      <c r="K56" s="402">
        <v>0.18579161861764731</v>
      </c>
      <c r="L56" s="229" t="s">
        <v>175</v>
      </c>
      <c r="M56" s="6" t="s">
        <v>556</v>
      </c>
    </row>
    <row r="57" spans="3:13" x14ac:dyDescent="0.2">
      <c r="C57" s="165">
        <v>0.21601503454466464</v>
      </c>
      <c r="D57" s="166" t="s">
        <v>16</v>
      </c>
      <c r="E57" s="6" t="s">
        <v>556</v>
      </c>
      <c r="K57" s="402">
        <v>1.2386107907843155E-2</v>
      </c>
      <c r="L57" s="229" t="s">
        <v>177</v>
      </c>
      <c r="M57" s="6" t="s">
        <v>556</v>
      </c>
    </row>
    <row r="58" spans="3:13" x14ac:dyDescent="0.2">
      <c r="C58" s="204">
        <v>2.2333333333333339E-4</v>
      </c>
      <c r="D58" s="203" t="s">
        <v>337</v>
      </c>
      <c r="E58" s="6" t="s">
        <v>556</v>
      </c>
      <c r="K58" s="402">
        <v>8.2574052718954374E-3</v>
      </c>
      <c r="L58" s="229" t="s">
        <v>179</v>
      </c>
      <c r="M58" s="6" t="s">
        <v>556</v>
      </c>
    </row>
    <row r="59" spans="3:13" x14ac:dyDescent="0.2">
      <c r="C59" s="228">
        <v>4.2063276930615155E-3</v>
      </c>
      <c r="D59" s="227" t="s">
        <v>185</v>
      </c>
      <c r="E59" s="6" t="s">
        <v>556</v>
      </c>
      <c r="K59" s="402">
        <v>4.9544431631372617E-3</v>
      </c>
      <c r="L59" s="229" t="s">
        <v>178</v>
      </c>
      <c r="M59" s="6" t="s">
        <v>556</v>
      </c>
    </row>
    <row r="60" spans="3:13" x14ac:dyDescent="0.2">
      <c r="C60" s="204">
        <v>2.2333333333333339E-4</v>
      </c>
      <c r="D60" s="203" t="s">
        <v>248</v>
      </c>
      <c r="E60" s="6" t="s">
        <v>556</v>
      </c>
      <c r="K60" s="402">
        <v>1.3822896425152961E-2</v>
      </c>
      <c r="L60" s="229" t="s">
        <v>180</v>
      </c>
      <c r="M60" s="6" t="s">
        <v>556</v>
      </c>
    </row>
    <row r="61" spans="3:13" x14ac:dyDescent="0.2">
      <c r="C61" s="204">
        <v>2.2333333333333339E-4</v>
      </c>
      <c r="D61" s="203" t="s">
        <v>257</v>
      </c>
      <c r="E61" s="6" t="s">
        <v>556</v>
      </c>
      <c r="K61" s="402">
        <v>6.7463001071385727E-4</v>
      </c>
      <c r="L61" s="229" t="s">
        <v>321</v>
      </c>
      <c r="M61" s="6" t="s">
        <v>556</v>
      </c>
    </row>
    <row r="62" spans="3:13" x14ac:dyDescent="0.2">
      <c r="C62" s="165">
        <v>0.25394938207445944</v>
      </c>
      <c r="D62" s="166" t="s">
        <v>17</v>
      </c>
      <c r="E62" s="6" t="s">
        <v>556</v>
      </c>
      <c r="K62" s="402">
        <v>6.5811520017006642E-4</v>
      </c>
      <c r="L62" s="229" t="s">
        <v>182</v>
      </c>
      <c r="M62" s="6" t="s">
        <v>556</v>
      </c>
    </row>
    <row r="63" spans="3:13" x14ac:dyDescent="0.2">
      <c r="C63" s="165">
        <v>5.6901521294692156E-2</v>
      </c>
      <c r="D63" s="166" t="s">
        <v>18</v>
      </c>
      <c r="E63" s="6" t="s">
        <v>556</v>
      </c>
      <c r="K63" s="402">
        <v>3.2451602718549079E-4</v>
      </c>
      <c r="L63" s="229" t="s">
        <v>183</v>
      </c>
      <c r="M63" s="6" t="s">
        <v>556</v>
      </c>
    </row>
    <row r="64" spans="3:13" x14ac:dyDescent="0.2">
      <c r="C64" s="165">
        <v>0.13803887573341986</v>
      </c>
      <c r="D64" s="166" t="s">
        <v>19</v>
      </c>
      <c r="E64" s="6" t="s">
        <v>556</v>
      </c>
      <c r="K64" s="402">
        <v>3.071754761145102E-4</v>
      </c>
      <c r="L64" s="321" t="s">
        <v>468</v>
      </c>
      <c r="M64" s="6" t="s">
        <v>556</v>
      </c>
    </row>
    <row r="65" spans="1:13" x14ac:dyDescent="0.2">
      <c r="C65" s="204">
        <v>5.535259603675412E-5</v>
      </c>
      <c r="D65" s="203" t="s">
        <v>282</v>
      </c>
      <c r="E65" s="6" t="s">
        <v>556</v>
      </c>
      <c r="K65" s="402">
        <v>6.6059242175163502E-6</v>
      </c>
      <c r="L65" s="229" t="s">
        <v>197</v>
      </c>
      <c r="M65" s="6" t="s">
        <v>556</v>
      </c>
    </row>
    <row r="66" spans="1:13" x14ac:dyDescent="0.2">
      <c r="C66" s="191">
        <v>8.4727538003418229E-2</v>
      </c>
      <c r="D66" s="189" t="s">
        <v>43</v>
      </c>
      <c r="E66" s="6" t="s">
        <v>556</v>
      </c>
      <c r="K66" s="402">
        <v>2.3946475288496772E-5</v>
      </c>
      <c r="L66" s="229" t="s">
        <v>193</v>
      </c>
      <c r="M66" s="6" t="s">
        <v>556</v>
      </c>
    </row>
    <row r="67" spans="1:13" x14ac:dyDescent="0.2">
      <c r="C67" s="165">
        <v>0.42360021408270826</v>
      </c>
      <c r="D67" s="166" t="s">
        <v>20</v>
      </c>
      <c r="E67" s="6" t="s">
        <v>556</v>
      </c>
      <c r="K67" s="402">
        <v>4.9544431631372626E-3</v>
      </c>
      <c r="L67" s="229" t="s">
        <v>184</v>
      </c>
      <c r="M67" s="6" t="s">
        <v>556</v>
      </c>
    </row>
    <row r="68" spans="1:13" x14ac:dyDescent="0.2">
      <c r="C68" s="228">
        <v>3.306173566746352E-4</v>
      </c>
      <c r="D68" s="227" t="s">
        <v>183</v>
      </c>
      <c r="E68" s="6" t="s">
        <v>556</v>
      </c>
      <c r="K68" s="402">
        <v>4.1287026359477187E-3</v>
      </c>
      <c r="L68" s="229" t="s">
        <v>185</v>
      </c>
      <c r="M68" s="6" t="s">
        <v>556</v>
      </c>
    </row>
    <row r="69" spans="1:13" x14ac:dyDescent="0.2">
      <c r="C69" s="20"/>
      <c r="D69" s="15"/>
      <c r="K69" s="402">
        <v>2.4772215815686305E-5</v>
      </c>
      <c r="L69" s="229" t="s">
        <v>427</v>
      </c>
      <c r="M69" s="6" t="s">
        <v>556</v>
      </c>
    </row>
    <row r="70" spans="1:13" x14ac:dyDescent="0.2">
      <c r="C70" s="20"/>
      <c r="D70" s="15"/>
      <c r="K70" s="402">
        <v>2.4772215815686312E-4</v>
      </c>
      <c r="L70" s="229" t="s">
        <v>428</v>
      </c>
      <c r="M70" s="6" t="s">
        <v>556</v>
      </c>
    </row>
    <row r="71" spans="1:13" x14ac:dyDescent="0.2">
      <c r="A71" s="21"/>
      <c r="C71" s="228">
        <v>79.2</v>
      </c>
      <c r="D71" s="227" t="s">
        <v>329</v>
      </c>
      <c r="E71" s="6" t="s">
        <v>556</v>
      </c>
      <c r="K71" s="402">
        <v>1.1642941433372565E-4</v>
      </c>
      <c r="L71" s="321" t="s">
        <v>456</v>
      </c>
      <c r="M71" s="6" t="s">
        <v>556</v>
      </c>
    </row>
    <row r="72" spans="1:13" x14ac:dyDescent="0.2">
      <c r="A72" s="21"/>
      <c r="C72" s="228">
        <v>79.2</v>
      </c>
      <c r="D72" s="227" t="s">
        <v>46</v>
      </c>
      <c r="E72" s="6" t="s">
        <v>556</v>
      </c>
      <c r="K72" s="402">
        <v>6.6059242175163502E-6</v>
      </c>
      <c r="L72" s="321" t="s">
        <v>458</v>
      </c>
      <c r="M72" s="6" t="s">
        <v>556</v>
      </c>
    </row>
    <row r="73" spans="1:13" x14ac:dyDescent="0.2">
      <c r="C73" s="214">
        <v>0.55840147629504289</v>
      </c>
      <c r="D73" s="213" t="s">
        <v>172</v>
      </c>
      <c r="E73" s="6" t="s">
        <v>556</v>
      </c>
      <c r="K73" s="403">
        <v>3.0682784370263574E-2</v>
      </c>
      <c r="L73" s="90" t="s">
        <v>21</v>
      </c>
      <c r="M73" s="6" t="s">
        <v>556</v>
      </c>
    </row>
    <row r="74" spans="1:13" ht="13.5" thickBot="1" x14ac:dyDescent="0.25">
      <c r="A74" s="21"/>
      <c r="C74" s="254">
        <v>79.195793241625751</v>
      </c>
      <c r="D74" s="253" t="s">
        <v>212</v>
      </c>
      <c r="E74" s="6" t="s">
        <v>556</v>
      </c>
      <c r="K74" s="403">
        <v>6.0698436678042009E-3</v>
      </c>
      <c r="L74" s="90" t="s">
        <v>22</v>
      </c>
      <c r="M74" s="6" t="s">
        <v>556</v>
      </c>
    </row>
    <row r="75" spans="1:13" x14ac:dyDescent="0.2">
      <c r="K75" s="403">
        <v>2.7916666666666671E-4</v>
      </c>
      <c r="L75" s="90" t="s">
        <v>26</v>
      </c>
      <c r="M75" s="6" t="s">
        <v>556</v>
      </c>
    </row>
    <row r="76" spans="1:13" x14ac:dyDescent="0.2">
      <c r="K76" s="403">
        <v>1.6750000000000003E-4</v>
      </c>
      <c r="L76" s="90" t="s">
        <v>27</v>
      </c>
      <c r="M76" s="6" t="s">
        <v>556</v>
      </c>
    </row>
    <row r="77" spans="1:13" x14ac:dyDescent="0.2">
      <c r="K77" s="403">
        <v>9.8266666666666679E-5</v>
      </c>
      <c r="L77" s="90" t="s">
        <v>33</v>
      </c>
      <c r="M77" s="6" t="s">
        <v>556</v>
      </c>
    </row>
    <row r="78" spans="1:13" x14ac:dyDescent="0.2">
      <c r="K78" s="403">
        <v>3.126666666666667E-5</v>
      </c>
      <c r="L78" s="90" t="s">
        <v>245</v>
      </c>
      <c r="M78" s="6" t="s">
        <v>556</v>
      </c>
    </row>
    <row r="79" spans="1:13" x14ac:dyDescent="0.2">
      <c r="K79" s="403">
        <v>1.7866666666666671E-3</v>
      </c>
      <c r="L79" s="90" t="s">
        <v>29</v>
      </c>
      <c r="M79" s="6" t="s">
        <v>556</v>
      </c>
    </row>
    <row r="80" spans="1:13" x14ac:dyDescent="0.2">
      <c r="K80" s="403">
        <v>4.4666666666666677E-5</v>
      </c>
      <c r="L80" s="90" t="s">
        <v>30</v>
      </c>
      <c r="M80" s="6" t="s">
        <v>556</v>
      </c>
    </row>
    <row r="81" spans="11:13" x14ac:dyDescent="0.2">
      <c r="K81" s="403">
        <v>1.1166666666666669E-4</v>
      </c>
      <c r="L81" s="90" t="s">
        <v>31</v>
      </c>
      <c r="M81" s="6" t="s">
        <v>556</v>
      </c>
    </row>
    <row r="82" spans="11:13" x14ac:dyDescent="0.2">
      <c r="K82" s="403">
        <v>3.3500000000000007E-4</v>
      </c>
      <c r="L82" s="90" t="s">
        <v>32</v>
      </c>
      <c r="M82" s="6" t="s">
        <v>556</v>
      </c>
    </row>
    <row r="83" spans="11:13" x14ac:dyDescent="0.2">
      <c r="K83" s="403">
        <v>2.2333333333333339E-4</v>
      </c>
      <c r="L83" s="90" t="s">
        <v>28</v>
      </c>
      <c r="M83" s="6" t="s">
        <v>556</v>
      </c>
    </row>
    <row r="84" spans="11:13" x14ac:dyDescent="0.2">
      <c r="K84" s="403">
        <v>2.2333333333333339E-4</v>
      </c>
      <c r="L84" s="90" t="s">
        <v>248</v>
      </c>
      <c r="M84" s="6" t="s">
        <v>556</v>
      </c>
    </row>
    <row r="85" spans="11:13" x14ac:dyDescent="0.2">
      <c r="K85" s="403">
        <v>2.2333333333333339E-4</v>
      </c>
      <c r="L85" s="90" t="s">
        <v>339</v>
      </c>
      <c r="M85" s="6" t="s">
        <v>556</v>
      </c>
    </row>
    <row r="86" spans="11:13" x14ac:dyDescent="0.2">
      <c r="K86" s="403">
        <v>2.2333333333333339E-4</v>
      </c>
      <c r="L86" s="90" t="s">
        <v>340</v>
      </c>
      <c r="M86" s="6" t="s">
        <v>556</v>
      </c>
    </row>
    <row r="87" spans="11:13" x14ac:dyDescent="0.2">
      <c r="K87" s="403">
        <v>2.2333333333333339E-4</v>
      </c>
      <c r="L87" s="90" t="s">
        <v>257</v>
      </c>
      <c r="M87" s="6" t="s">
        <v>556</v>
      </c>
    </row>
    <row r="88" spans="11:13" x14ac:dyDescent="0.2">
      <c r="K88" s="403">
        <v>2.2333333333333339E-4</v>
      </c>
      <c r="L88" s="90" t="s">
        <v>325</v>
      </c>
      <c r="M88" s="6" t="s">
        <v>556</v>
      </c>
    </row>
    <row r="89" spans="11:13" x14ac:dyDescent="0.2">
      <c r="K89" s="403">
        <v>2.2333333333333339E-4</v>
      </c>
      <c r="L89" s="90" t="s">
        <v>324</v>
      </c>
      <c r="M89" s="6" t="s">
        <v>556</v>
      </c>
    </row>
    <row r="90" spans="11:13" x14ac:dyDescent="0.2">
      <c r="K90" s="403">
        <v>2.2333333333333339E-4</v>
      </c>
      <c r="L90" s="90" t="s">
        <v>314</v>
      </c>
      <c r="M90" s="6" t="s">
        <v>556</v>
      </c>
    </row>
    <row r="91" spans="11:13" x14ac:dyDescent="0.2">
      <c r="K91" s="403">
        <v>2.2333333333333339E-4</v>
      </c>
      <c r="L91" s="90" t="s">
        <v>250</v>
      </c>
      <c r="M91" s="6" t="s">
        <v>556</v>
      </c>
    </row>
    <row r="92" spans="11:13" x14ac:dyDescent="0.2">
      <c r="K92" s="403">
        <v>2.2333333333333339E-4</v>
      </c>
      <c r="L92" s="90" t="s">
        <v>343</v>
      </c>
      <c r="M92" s="6" t="s">
        <v>556</v>
      </c>
    </row>
    <row r="93" spans="11:13" x14ac:dyDescent="0.2">
      <c r="K93" s="403">
        <v>2.2333333333333339E-4</v>
      </c>
      <c r="L93" s="90" t="s">
        <v>337</v>
      </c>
      <c r="M93" s="6" t="s">
        <v>556</v>
      </c>
    </row>
    <row r="94" spans="11:13" x14ac:dyDescent="0.2">
      <c r="K94" s="403">
        <v>2.2333333333333339E-4</v>
      </c>
      <c r="L94" s="90" t="s">
        <v>253</v>
      </c>
      <c r="M94" s="6" t="s">
        <v>556</v>
      </c>
    </row>
    <row r="95" spans="11:13" x14ac:dyDescent="0.2">
      <c r="K95" s="403">
        <v>5.535259603675412E-5</v>
      </c>
      <c r="L95" s="90" t="s">
        <v>282</v>
      </c>
      <c r="M95" s="6" t="s">
        <v>556</v>
      </c>
    </row>
    <row r="96" spans="11:13" x14ac:dyDescent="0.2">
      <c r="K96" s="403">
        <v>2.2333333333333339E-4</v>
      </c>
      <c r="L96" s="90" t="s">
        <v>300</v>
      </c>
      <c r="M96" s="6" t="s">
        <v>556</v>
      </c>
    </row>
    <row r="97" spans="11:15" x14ac:dyDescent="0.2">
      <c r="K97" s="403">
        <v>2.2333333333333339E-4</v>
      </c>
      <c r="L97" s="90" t="s">
        <v>278</v>
      </c>
      <c r="M97" s="6" t="s">
        <v>556</v>
      </c>
    </row>
    <row r="98" spans="11:15" x14ac:dyDescent="0.2">
      <c r="K98" s="403">
        <v>2.2333333333333339E-4</v>
      </c>
      <c r="L98" s="90" t="s">
        <v>276</v>
      </c>
      <c r="M98" s="6" t="s">
        <v>556</v>
      </c>
    </row>
    <row r="99" spans="11:15" x14ac:dyDescent="0.2">
      <c r="K99" s="403">
        <v>2.2333333333333339E-4</v>
      </c>
      <c r="L99" s="90" t="s">
        <v>297</v>
      </c>
      <c r="M99" s="6" t="s">
        <v>556</v>
      </c>
    </row>
    <row r="100" spans="11:15" x14ac:dyDescent="0.2">
      <c r="K100" s="403">
        <v>1.9999999999999999E-6</v>
      </c>
      <c r="L100" s="90" t="s">
        <v>423</v>
      </c>
      <c r="M100" s="6" t="s">
        <v>556</v>
      </c>
    </row>
    <row r="101" spans="11:15" x14ac:dyDescent="0.2">
      <c r="K101" s="405">
        <v>79.298747000000006</v>
      </c>
      <c r="L101" s="251" t="s">
        <v>167</v>
      </c>
      <c r="M101" s="6" t="s">
        <v>556</v>
      </c>
      <c r="O101" s="21"/>
    </row>
    <row r="102" spans="11:15" x14ac:dyDescent="0.2">
      <c r="K102" s="405">
        <v>74.030608999999998</v>
      </c>
      <c r="L102" s="251" t="s">
        <v>168</v>
      </c>
      <c r="M102" s="6" t="s">
        <v>556</v>
      </c>
      <c r="O102" s="21"/>
    </row>
    <row r="103" spans="11:15" x14ac:dyDescent="0.2">
      <c r="K103" s="409"/>
      <c r="L103" s="246"/>
    </row>
    <row r="104" spans="11:15" x14ac:dyDescent="0.2">
      <c r="K104" s="409"/>
      <c r="L104" s="246"/>
    </row>
    <row r="105" spans="11:15" x14ac:dyDescent="0.2">
      <c r="K105" s="402">
        <v>79.2</v>
      </c>
      <c r="L105" s="229" t="s">
        <v>329</v>
      </c>
      <c r="M105" s="6" t="s">
        <v>556</v>
      </c>
      <c r="O105" s="21"/>
    </row>
    <row r="106" spans="11:15" x14ac:dyDescent="0.2">
      <c r="K106" s="402">
        <v>79.2</v>
      </c>
      <c r="L106" s="229" t="s">
        <v>46</v>
      </c>
      <c r="M106" s="6" t="s">
        <v>556</v>
      </c>
      <c r="O106" s="21"/>
    </row>
    <row r="107" spans="11:15" x14ac:dyDescent="0.2">
      <c r="K107" s="405">
        <v>0.53644278201701157</v>
      </c>
      <c r="L107" s="251" t="s">
        <v>172</v>
      </c>
      <c r="M107" s="6" t="s">
        <v>556</v>
      </c>
    </row>
    <row r="108" spans="11:15" ht="13.5" thickBot="1" x14ac:dyDescent="0.25">
      <c r="K108" s="410">
        <v>79.195870999999997</v>
      </c>
      <c r="L108" s="255" t="s">
        <v>212</v>
      </c>
      <c r="M108" s="6" t="s">
        <v>556</v>
      </c>
      <c r="O108" s="21"/>
    </row>
    <row r="110" spans="11:15" x14ac:dyDescent="0.2">
      <c r="L110" s="412"/>
    </row>
    <row r="111" spans="11:15" x14ac:dyDescent="0.2">
      <c r="L111" s="412"/>
    </row>
    <row r="112" spans="11:15" x14ac:dyDescent="0.2">
      <c r="L112" s="412"/>
    </row>
    <row r="113" spans="12:12" x14ac:dyDescent="0.2">
      <c r="L113" s="412"/>
    </row>
    <row r="114" spans="12:12" x14ac:dyDescent="0.2">
      <c r="L114" s="412"/>
    </row>
    <row r="115" spans="12:12" x14ac:dyDescent="0.2">
      <c r="L115" s="412"/>
    </row>
    <row r="116" spans="12:12" x14ac:dyDescent="0.2">
      <c r="L116" s="412"/>
    </row>
    <row r="117" spans="12:12" x14ac:dyDescent="0.2">
      <c r="L117" s="412"/>
    </row>
    <row r="118" spans="12:12" x14ac:dyDescent="0.2">
      <c r="L118" s="412"/>
    </row>
    <row r="122" spans="12:12" x14ac:dyDescent="0.2">
      <c r="L122" s="412"/>
    </row>
    <row r="123" spans="12:12" x14ac:dyDescent="0.2">
      <c r="L123" s="412"/>
    </row>
    <row r="124" spans="12:12" x14ac:dyDescent="0.2">
      <c r="L124" s="4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4"/>
  <sheetViews>
    <sheetView workbookViewId="0">
      <selection activeCell="F20" sqref="F20"/>
    </sheetView>
  </sheetViews>
  <sheetFormatPr defaultRowHeight="15" x14ac:dyDescent="0.25"/>
  <cols>
    <col min="1" max="1" width="9.140625" style="388"/>
    <col min="2" max="2" width="18.85546875" style="388" customWidth="1"/>
    <col min="3" max="3" width="18.140625" style="388" customWidth="1"/>
    <col min="4" max="4" width="16.42578125" style="388" customWidth="1"/>
    <col min="5" max="5" width="13.5703125" style="388" customWidth="1"/>
    <col min="6" max="6" width="48" style="388" customWidth="1"/>
    <col min="7" max="7" width="50.7109375" style="388" customWidth="1"/>
    <col min="8" max="8" width="10.140625" style="388" bestFit="1" customWidth="1"/>
    <col min="9" max="9" width="29.42578125" style="388" bestFit="1" customWidth="1"/>
    <col min="10" max="10" width="16.7109375" style="388" customWidth="1"/>
    <col min="11" max="11" width="16.28515625" style="388" bestFit="1" customWidth="1"/>
    <col min="12" max="16384" width="9.140625" style="388"/>
  </cols>
  <sheetData>
    <row r="2" spans="2:11" x14ac:dyDescent="0.25">
      <c r="B2" s="388" t="s">
        <v>561</v>
      </c>
    </row>
    <row r="3" spans="2:11" ht="15.75" thickBot="1" x14ac:dyDescent="0.3">
      <c r="B3" s="389"/>
      <c r="C3" s="389"/>
      <c r="D3" s="389"/>
      <c r="E3" s="389"/>
      <c r="F3" s="389"/>
      <c r="G3" s="389"/>
      <c r="H3" s="389"/>
      <c r="I3" s="389"/>
      <c r="J3" s="389"/>
      <c r="K3" s="389"/>
    </row>
    <row r="4" spans="2:11" ht="64.5" thickBot="1" x14ac:dyDescent="0.3">
      <c r="B4" s="390" t="s">
        <v>562</v>
      </c>
      <c r="C4" s="391" t="s">
        <v>598</v>
      </c>
      <c r="D4" s="391" t="s">
        <v>564</v>
      </c>
      <c r="E4" s="391" t="s">
        <v>563</v>
      </c>
      <c r="F4" s="391" t="s">
        <v>486</v>
      </c>
      <c r="G4" s="391" t="s">
        <v>415</v>
      </c>
      <c r="H4" s="391" t="s">
        <v>579</v>
      </c>
      <c r="I4" s="391" t="s">
        <v>580</v>
      </c>
      <c r="J4" s="391" t="s">
        <v>581</v>
      </c>
      <c r="K4" s="392" t="s">
        <v>102</v>
      </c>
    </row>
    <row r="5" spans="2:11" ht="38.25" x14ac:dyDescent="0.25">
      <c r="B5" s="393" t="s">
        <v>321</v>
      </c>
      <c r="C5" s="157" t="s">
        <v>208</v>
      </c>
      <c r="D5" s="157" t="s">
        <v>566</v>
      </c>
      <c r="E5" s="157" t="s">
        <v>565</v>
      </c>
      <c r="F5" s="157" t="s">
        <v>582</v>
      </c>
      <c r="G5" s="157" t="s">
        <v>583</v>
      </c>
      <c r="H5" s="157">
        <v>2</v>
      </c>
      <c r="I5" s="157" t="s">
        <v>584</v>
      </c>
      <c r="J5" s="157" t="s">
        <v>585</v>
      </c>
      <c r="K5" s="161" t="s">
        <v>586</v>
      </c>
    </row>
    <row r="6" spans="2:11" x14ac:dyDescent="0.25">
      <c r="B6" s="393" t="s">
        <v>181</v>
      </c>
      <c r="C6" s="157" t="s">
        <v>208</v>
      </c>
      <c r="D6" s="157" t="s">
        <v>566</v>
      </c>
      <c r="E6" s="157" t="s">
        <v>567</v>
      </c>
      <c r="F6" s="157" t="s">
        <v>587</v>
      </c>
      <c r="G6" s="157" t="s">
        <v>588</v>
      </c>
      <c r="H6" s="157">
        <v>2</v>
      </c>
      <c r="I6" s="157" t="s">
        <v>584</v>
      </c>
      <c r="J6" s="157" t="s">
        <v>589</v>
      </c>
      <c r="K6" s="161" t="s">
        <v>590</v>
      </c>
    </row>
    <row r="7" spans="2:11" x14ac:dyDescent="0.25">
      <c r="B7" s="393" t="s">
        <v>576</v>
      </c>
      <c r="C7" s="157" t="s">
        <v>208</v>
      </c>
      <c r="D7" s="157" t="s">
        <v>569</v>
      </c>
      <c r="E7" s="157" t="s">
        <v>568</v>
      </c>
      <c r="F7" s="157" t="s">
        <v>591</v>
      </c>
      <c r="G7" s="157" t="s">
        <v>592</v>
      </c>
      <c r="H7" s="157">
        <v>2</v>
      </c>
      <c r="I7" s="157" t="s">
        <v>593</v>
      </c>
      <c r="J7" s="157"/>
      <c r="K7" s="161"/>
    </row>
    <row r="8" spans="2:11" x14ac:dyDescent="0.25">
      <c r="B8" s="393" t="s">
        <v>577</v>
      </c>
      <c r="C8" s="157" t="s">
        <v>208</v>
      </c>
      <c r="D8" s="157" t="s">
        <v>566</v>
      </c>
      <c r="E8" s="157" t="s">
        <v>594</v>
      </c>
      <c r="F8" s="157" t="s">
        <v>595</v>
      </c>
      <c r="G8" s="157" t="s">
        <v>596</v>
      </c>
      <c r="H8" s="157">
        <v>1</v>
      </c>
      <c r="I8" s="157" t="s">
        <v>593</v>
      </c>
      <c r="J8" s="157"/>
      <c r="K8" s="161"/>
    </row>
    <row r="9" spans="2:11" x14ac:dyDescent="0.25">
      <c r="B9" s="393"/>
      <c r="C9" s="157"/>
      <c r="D9" s="157" t="s">
        <v>566</v>
      </c>
      <c r="E9" s="157" t="s">
        <v>597</v>
      </c>
      <c r="F9" s="157" t="s">
        <v>607</v>
      </c>
      <c r="G9" s="157" t="s">
        <v>608</v>
      </c>
      <c r="H9" s="157">
        <v>1</v>
      </c>
      <c r="I9" s="157" t="s">
        <v>611</v>
      </c>
      <c r="J9" s="157"/>
      <c r="K9" s="161"/>
    </row>
    <row r="10" spans="2:11" ht="25.5" x14ac:dyDescent="0.25">
      <c r="B10" s="394" t="s">
        <v>423</v>
      </c>
      <c r="C10" s="157" t="s">
        <v>208</v>
      </c>
      <c r="D10" s="157" t="s">
        <v>566</v>
      </c>
      <c r="E10" s="157" t="s">
        <v>570</v>
      </c>
      <c r="F10" s="157" t="s">
        <v>609</v>
      </c>
      <c r="G10" s="157" t="s">
        <v>610</v>
      </c>
      <c r="H10" s="157">
        <v>1</v>
      </c>
      <c r="I10" s="157" t="s">
        <v>611</v>
      </c>
      <c r="J10" s="157"/>
      <c r="K10" s="161"/>
    </row>
    <row r="11" spans="2:11" ht="25.5" x14ac:dyDescent="0.25">
      <c r="B11" s="393" t="s">
        <v>257</v>
      </c>
      <c r="C11" s="157" t="s">
        <v>208</v>
      </c>
      <c r="D11" s="157" t="s">
        <v>572</v>
      </c>
      <c r="E11" s="157" t="s">
        <v>571</v>
      </c>
      <c r="F11" s="157" t="s">
        <v>599</v>
      </c>
      <c r="G11" s="157" t="s">
        <v>600</v>
      </c>
      <c r="H11" s="157">
        <v>1</v>
      </c>
      <c r="I11" s="157" t="s">
        <v>584</v>
      </c>
      <c r="J11" s="157"/>
      <c r="K11" s="161"/>
    </row>
    <row r="12" spans="2:11" x14ac:dyDescent="0.25">
      <c r="B12" s="393" t="s">
        <v>344</v>
      </c>
      <c r="C12" s="395" t="s">
        <v>209</v>
      </c>
      <c r="D12" s="157" t="s">
        <v>569</v>
      </c>
      <c r="E12" s="157" t="s">
        <v>573</v>
      </c>
      <c r="F12" s="157" t="s">
        <v>601</v>
      </c>
      <c r="G12" s="157" t="s">
        <v>602</v>
      </c>
      <c r="H12" s="157">
        <v>1</v>
      </c>
      <c r="I12" s="157" t="s">
        <v>584</v>
      </c>
      <c r="J12" s="157"/>
      <c r="K12" s="161"/>
    </row>
    <row r="13" spans="2:11" ht="25.5" x14ac:dyDescent="0.25">
      <c r="B13" s="393" t="s">
        <v>578</v>
      </c>
      <c r="C13" s="395" t="s">
        <v>209</v>
      </c>
      <c r="D13" s="157" t="s">
        <v>566</v>
      </c>
      <c r="E13" s="157" t="s">
        <v>574</v>
      </c>
      <c r="F13" s="157" t="s">
        <v>603</v>
      </c>
      <c r="G13" s="157" t="s">
        <v>604</v>
      </c>
      <c r="H13" s="157">
        <v>1</v>
      </c>
      <c r="I13" s="157" t="s">
        <v>584</v>
      </c>
      <c r="J13" s="157"/>
      <c r="K13" s="161"/>
    </row>
    <row r="14" spans="2:11" ht="26.25" thickBot="1" x14ac:dyDescent="0.3">
      <c r="B14" s="396" t="s">
        <v>141</v>
      </c>
      <c r="C14" s="397" t="s">
        <v>209</v>
      </c>
      <c r="D14" s="397" t="s">
        <v>566</v>
      </c>
      <c r="E14" s="397" t="s">
        <v>575</v>
      </c>
      <c r="F14" s="397" t="s">
        <v>605</v>
      </c>
      <c r="G14" s="397" t="s">
        <v>606</v>
      </c>
      <c r="H14" s="397">
        <v>1</v>
      </c>
      <c r="I14" s="397" t="s">
        <v>584</v>
      </c>
      <c r="J14" s="397"/>
      <c r="K14" s="39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7"/>
  <sheetViews>
    <sheetView zoomScale="80" zoomScaleNormal="80" workbookViewId="0">
      <pane ySplit="2" topLeftCell="A51" activePane="bottomLeft" state="frozenSplit"/>
      <selection pane="bottomLeft" activeCell="G78" sqref="G78"/>
    </sheetView>
  </sheetViews>
  <sheetFormatPr defaultRowHeight="12.75" x14ac:dyDescent="0.2"/>
  <cols>
    <col min="1" max="1" width="6.42578125" style="4" customWidth="1"/>
    <col min="2" max="2" width="11.42578125" customWidth="1"/>
    <col min="3" max="3" width="8.42578125" bestFit="1" customWidth="1"/>
    <col min="4" max="4" width="10.28515625" bestFit="1" customWidth="1"/>
    <col min="5" max="5" width="14.28515625" customWidth="1"/>
    <col min="6" max="6" width="11.85546875" style="21" customWidth="1"/>
    <col min="7" max="7" width="14.42578125" customWidth="1"/>
    <col min="8" max="8" width="19.5703125" bestFit="1" customWidth="1"/>
    <col min="9" max="9" width="21.85546875" bestFit="1" customWidth="1"/>
    <col min="10" max="10" width="23" customWidth="1"/>
    <col min="17" max="17" width="14" customWidth="1"/>
    <col min="18" max="18" width="18.7109375" style="6" customWidth="1"/>
    <col min="19" max="19" width="9.7109375" customWidth="1"/>
    <col min="20" max="20" width="13.28515625" customWidth="1"/>
    <col min="21" max="21" width="10.7109375" customWidth="1"/>
    <col min="22" max="22" width="13.140625" customWidth="1"/>
    <col min="23" max="23" width="13.140625" style="7" customWidth="1"/>
    <col min="24" max="24" width="10.7109375" style="7" customWidth="1"/>
    <col min="27" max="27" width="12.42578125" bestFit="1" customWidth="1"/>
    <col min="32" max="32" width="9.85546875" customWidth="1"/>
    <col min="33" max="33" width="9.140625" style="4"/>
    <col min="34" max="34" width="10.28515625" style="4" customWidth="1"/>
    <col min="35" max="35" width="10" style="4" bestFit="1" customWidth="1"/>
    <col min="36" max="16384" width="9.140625" style="4"/>
  </cols>
  <sheetData>
    <row r="1" spans="1:37" ht="13.5" thickBot="1" x14ac:dyDescent="0.25">
      <c r="A1" s="27" t="s">
        <v>519</v>
      </c>
    </row>
    <row r="2" spans="1:37" s="28" customFormat="1" ht="38.25" x14ac:dyDescent="0.2">
      <c r="B2" s="150" t="s">
        <v>290</v>
      </c>
      <c r="C2" s="151" t="s">
        <v>147</v>
      </c>
      <c r="D2" s="151" t="s">
        <v>115</v>
      </c>
      <c r="E2" s="151" t="s">
        <v>116</v>
      </c>
      <c r="F2" s="152" t="s">
        <v>169</v>
      </c>
      <c r="G2" s="151" t="s">
        <v>59</v>
      </c>
      <c r="H2" s="151" t="s">
        <v>207</v>
      </c>
      <c r="I2" s="151" t="s">
        <v>60</v>
      </c>
      <c r="J2" s="151" t="s">
        <v>61</v>
      </c>
      <c r="K2" s="151" t="s">
        <v>50</v>
      </c>
      <c r="L2" s="151" t="s">
        <v>51</v>
      </c>
      <c r="M2" s="151" t="s">
        <v>52</v>
      </c>
      <c r="N2" s="151" t="s">
        <v>53</v>
      </c>
      <c r="O2" s="151" t="s">
        <v>54</v>
      </c>
      <c r="P2" s="151" t="s">
        <v>101</v>
      </c>
      <c r="Q2" s="151" t="s">
        <v>129</v>
      </c>
      <c r="R2" s="151" t="s">
        <v>131</v>
      </c>
      <c r="S2" s="151" t="s">
        <v>132</v>
      </c>
      <c r="T2" s="151" t="s">
        <v>133</v>
      </c>
      <c r="U2" s="151" t="s">
        <v>130</v>
      </c>
      <c r="V2" s="151" t="s">
        <v>134</v>
      </c>
      <c r="W2" s="153" t="s">
        <v>57</v>
      </c>
      <c r="X2" s="153" t="s">
        <v>56</v>
      </c>
      <c r="Y2" s="154"/>
      <c r="Z2" s="154" t="s">
        <v>260</v>
      </c>
      <c r="AA2" s="154" t="s">
        <v>117</v>
      </c>
      <c r="AB2" s="151" t="s">
        <v>118</v>
      </c>
      <c r="AC2" s="151"/>
      <c r="AD2" s="151" t="s">
        <v>57</v>
      </c>
      <c r="AE2" s="151" t="s">
        <v>57</v>
      </c>
      <c r="AF2" s="155" t="s">
        <v>57</v>
      </c>
      <c r="AH2" s="148" t="s">
        <v>238</v>
      </c>
    </row>
    <row r="3" spans="1:37" s="28" customFormat="1" x14ac:dyDescent="0.2">
      <c r="B3" s="156" t="s">
        <v>404</v>
      </c>
      <c r="C3" s="157"/>
      <c r="D3" s="157"/>
      <c r="E3" s="157"/>
      <c r="F3" s="158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9"/>
      <c r="X3" s="159"/>
      <c r="Y3" s="160"/>
      <c r="Z3" s="160"/>
      <c r="AA3" s="160"/>
      <c r="AB3" s="157"/>
      <c r="AC3" s="157"/>
      <c r="AD3" s="157"/>
      <c r="AE3" s="157"/>
      <c r="AF3" s="161"/>
      <c r="AH3" s="284" t="s">
        <v>355</v>
      </c>
      <c r="AI3" t="s">
        <v>358</v>
      </c>
    </row>
    <row r="4" spans="1:37" x14ac:dyDescent="0.2">
      <c r="B4" s="162" t="s">
        <v>400</v>
      </c>
      <c r="C4" s="163" t="s">
        <v>102</v>
      </c>
      <c r="D4" s="368">
        <v>0.56000000000000005</v>
      </c>
      <c r="E4" s="344">
        <v>9.6044085809879928E-2</v>
      </c>
      <c r="F4" s="165">
        <f t="shared" ref="F4:F35" si="0">X4</f>
        <v>0.49648939142444043</v>
      </c>
      <c r="G4" s="166" t="s">
        <v>0</v>
      </c>
      <c r="H4" s="166" t="s">
        <v>208</v>
      </c>
      <c r="I4" s="166" t="s">
        <v>1</v>
      </c>
      <c r="J4" s="166" t="s">
        <v>64</v>
      </c>
      <c r="K4" s="166">
        <v>3</v>
      </c>
      <c r="L4" s="166">
        <v>7</v>
      </c>
      <c r="M4" s="166">
        <v>1</v>
      </c>
      <c r="N4" s="166">
        <v>2</v>
      </c>
      <c r="O4" s="166">
        <v>0</v>
      </c>
      <c r="P4" s="166">
        <v>0</v>
      </c>
      <c r="Q4" s="166">
        <f t="shared" ref="Q4:Q37" si="1">(K4*12.011)+(L4*1.008)+(N4*15.999)+(14.007*M4)+(O4*30.974)+(P4*32.066)</f>
        <v>89.094000000000008</v>
      </c>
      <c r="R4" s="167" t="s">
        <v>44</v>
      </c>
      <c r="S4" s="166">
        <f t="shared" ref="S4:S23" si="2">Q4-$Q$109</f>
        <v>71.079000000000008</v>
      </c>
      <c r="T4" s="166">
        <f t="shared" ref="T4:T35" si="3">E4*S4</f>
        <v>6.8267175752804565</v>
      </c>
      <c r="U4" s="163">
        <f>SUM(T4:T23)</f>
        <v>108.32998445187955</v>
      </c>
      <c r="V4" s="163">
        <f t="shared" ref="V4:V23" si="4">T4/$U$4</f>
        <v>6.301780259474607E-2</v>
      </c>
      <c r="W4" s="168">
        <f>V4*$D$4</f>
        <v>3.5289969453057804E-2</v>
      </c>
      <c r="X4" s="164">
        <f t="shared" ref="X4:X23" si="5">W4/S4*1000</f>
        <v>0.49648939142444043</v>
      </c>
      <c r="Y4" s="166"/>
      <c r="Z4" s="163"/>
      <c r="AA4" s="163"/>
      <c r="AB4" s="163"/>
      <c r="AC4" s="163"/>
      <c r="AD4" s="163">
        <f t="shared" ref="AD4:AD35" si="6">(F4*Q4)/1000</f>
        <v>4.4234225839569097E-2</v>
      </c>
      <c r="AE4" s="163"/>
      <c r="AF4" s="169"/>
    </row>
    <row r="5" spans="1:37" x14ac:dyDescent="0.2">
      <c r="B5" s="162" t="s">
        <v>400</v>
      </c>
      <c r="C5" s="163"/>
      <c r="D5" s="271"/>
      <c r="E5" s="344">
        <v>5.530407400118087E-2</v>
      </c>
      <c r="F5" s="165">
        <f t="shared" si="0"/>
        <v>0.28588835858661427</v>
      </c>
      <c r="G5" s="166" t="s">
        <v>2</v>
      </c>
      <c r="H5" s="166" t="s">
        <v>208</v>
      </c>
      <c r="I5" s="166" t="s">
        <v>1</v>
      </c>
      <c r="J5" s="166" t="s">
        <v>65</v>
      </c>
      <c r="K5" s="166">
        <v>6</v>
      </c>
      <c r="L5" s="166">
        <v>15</v>
      </c>
      <c r="M5" s="166">
        <v>4</v>
      </c>
      <c r="N5" s="166">
        <v>2</v>
      </c>
      <c r="O5" s="166">
        <v>0</v>
      </c>
      <c r="P5" s="166">
        <v>0</v>
      </c>
      <c r="Q5" s="166">
        <f t="shared" si="1"/>
        <v>175.21200000000002</v>
      </c>
      <c r="R5" s="167" t="s">
        <v>44</v>
      </c>
      <c r="S5" s="166">
        <f t="shared" si="2"/>
        <v>157.197</v>
      </c>
      <c r="T5" s="166">
        <f t="shared" si="3"/>
        <v>8.693634520763629</v>
      </c>
      <c r="U5" s="163"/>
      <c r="V5" s="163">
        <f t="shared" si="4"/>
        <v>8.0251414829892856E-2</v>
      </c>
      <c r="W5" s="168">
        <f t="shared" ref="W5:W23" si="7">V5*$D$4</f>
        <v>4.4940792304740004E-2</v>
      </c>
      <c r="X5" s="164">
        <f t="shared" si="5"/>
        <v>0.28588835858661427</v>
      </c>
      <c r="Y5" s="166"/>
      <c r="Z5" s="163"/>
      <c r="AA5" s="163"/>
      <c r="AB5" s="163"/>
      <c r="AC5" s="163"/>
      <c r="AD5" s="163">
        <f t="shared" si="6"/>
        <v>5.0091071084677863E-2</v>
      </c>
      <c r="AE5" s="163"/>
      <c r="AF5" s="169"/>
    </row>
    <row r="6" spans="1:37" x14ac:dyDescent="0.2">
      <c r="B6" s="162" t="s">
        <v>400</v>
      </c>
      <c r="C6" s="163"/>
      <c r="D6" s="163"/>
      <c r="E6" s="344">
        <v>4.506986813619366E-2</v>
      </c>
      <c r="F6" s="165">
        <f t="shared" si="0"/>
        <v>0.2329837513036821</v>
      </c>
      <c r="G6" s="166" t="s">
        <v>3</v>
      </c>
      <c r="H6" s="166" t="s">
        <v>208</v>
      </c>
      <c r="I6" s="166" t="s">
        <v>1</v>
      </c>
      <c r="J6" s="166" t="s">
        <v>66</v>
      </c>
      <c r="K6" s="166">
        <v>4</v>
      </c>
      <c r="L6" s="166">
        <v>8</v>
      </c>
      <c r="M6" s="166">
        <v>2</v>
      </c>
      <c r="N6" s="166">
        <v>3</v>
      </c>
      <c r="O6" s="166">
        <v>0</v>
      </c>
      <c r="P6" s="166">
        <v>0</v>
      </c>
      <c r="Q6" s="166">
        <f t="shared" si="1"/>
        <v>132.119</v>
      </c>
      <c r="R6" s="167" t="s">
        <v>44</v>
      </c>
      <c r="S6" s="166">
        <f t="shared" si="2"/>
        <v>114.104</v>
      </c>
      <c r="T6" s="166">
        <f t="shared" si="3"/>
        <v>5.1426522338122416</v>
      </c>
      <c r="U6" s="163"/>
      <c r="V6" s="163">
        <f t="shared" si="4"/>
        <v>4.747210349777739E-2</v>
      </c>
      <c r="W6" s="168">
        <f t="shared" si="7"/>
        <v>2.6584377958755342E-2</v>
      </c>
      <c r="X6" s="164">
        <f t="shared" si="5"/>
        <v>0.2329837513036821</v>
      </c>
      <c r="Y6" s="166"/>
      <c r="Z6" s="163"/>
      <c r="AA6" s="163"/>
      <c r="AB6" s="163"/>
      <c r="AC6" s="163"/>
      <c r="AD6" s="163">
        <f t="shared" si="6"/>
        <v>3.0781580238491174E-2</v>
      </c>
      <c r="AE6" s="163"/>
      <c r="AF6" s="169"/>
    </row>
    <row r="7" spans="1:37" x14ac:dyDescent="0.2">
      <c r="B7" s="162" t="s">
        <v>400</v>
      </c>
      <c r="C7" s="163"/>
      <c r="D7" s="163"/>
      <c r="E7" s="344">
        <v>4.506986813619366E-2</v>
      </c>
      <c r="F7" s="165">
        <f t="shared" si="0"/>
        <v>0.2329837513036821</v>
      </c>
      <c r="G7" s="166" t="s">
        <v>4</v>
      </c>
      <c r="H7" s="166" t="s">
        <v>208</v>
      </c>
      <c r="I7" s="166" t="s">
        <v>1</v>
      </c>
      <c r="J7" s="166" t="s">
        <v>67</v>
      </c>
      <c r="K7" s="166">
        <v>4</v>
      </c>
      <c r="L7" s="166">
        <v>6</v>
      </c>
      <c r="M7" s="166">
        <v>1</v>
      </c>
      <c r="N7" s="166">
        <v>4</v>
      </c>
      <c r="O7" s="166">
        <v>0</v>
      </c>
      <c r="P7" s="166">
        <v>0</v>
      </c>
      <c r="Q7" s="166">
        <f t="shared" si="1"/>
        <v>132.095</v>
      </c>
      <c r="R7" s="167" t="s">
        <v>44</v>
      </c>
      <c r="S7" s="166">
        <f t="shared" si="2"/>
        <v>114.08</v>
      </c>
      <c r="T7" s="166">
        <f t="shared" si="3"/>
        <v>5.1415705569769727</v>
      </c>
      <c r="U7" s="163"/>
      <c r="V7" s="163">
        <f t="shared" si="4"/>
        <v>4.7462118479864375E-2</v>
      </c>
      <c r="W7" s="168">
        <f t="shared" si="7"/>
        <v>2.6578786348724053E-2</v>
      </c>
      <c r="X7" s="164">
        <f t="shared" si="5"/>
        <v>0.2329837513036821</v>
      </c>
      <c r="Y7" s="166"/>
      <c r="Z7" s="163"/>
      <c r="AA7" s="163"/>
      <c r="AB7" s="163"/>
      <c r="AC7" s="163"/>
      <c r="AD7" s="163">
        <f t="shared" si="6"/>
        <v>3.0775988628459885E-2</v>
      </c>
      <c r="AE7" s="163"/>
      <c r="AF7" s="169"/>
    </row>
    <row r="8" spans="1:37" x14ac:dyDescent="0.2">
      <c r="B8" s="162" t="s">
        <v>400</v>
      </c>
      <c r="C8" s="163"/>
      <c r="D8" s="163"/>
      <c r="E8" s="344">
        <f>0.0171226136587286</f>
        <v>1.7122613658728601E-2</v>
      </c>
      <c r="F8" s="165">
        <f t="shared" si="0"/>
        <v>8.8513477569521173E-2</v>
      </c>
      <c r="G8" s="166" t="s">
        <v>5</v>
      </c>
      <c r="H8" s="166" t="s">
        <v>208</v>
      </c>
      <c r="I8" s="166" t="s">
        <v>1</v>
      </c>
      <c r="J8" s="166" t="s">
        <v>71</v>
      </c>
      <c r="K8" s="166">
        <v>3</v>
      </c>
      <c r="L8" s="166">
        <v>7</v>
      </c>
      <c r="M8" s="166">
        <v>1</v>
      </c>
      <c r="N8" s="166">
        <v>2</v>
      </c>
      <c r="O8" s="166">
        <v>0</v>
      </c>
      <c r="P8" s="166">
        <v>1</v>
      </c>
      <c r="Q8" s="166">
        <f t="shared" si="1"/>
        <v>121.16000000000001</v>
      </c>
      <c r="R8" s="167" t="s">
        <v>44</v>
      </c>
      <c r="S8" s="166">
        <f t="shared" si="2"/>
        <v>103.14500000000001</v>
      </c>
      <c r="T8" s="166">
        <f t="shared" si="3"/>
        <v>1.7661119858295617</v>
      </c>
      <c r="U8" s="163"/>
      <c r="V8" s="163">
        <f t="shared" si="4"/>
        <v>1.6303076149836181E-2</v>
      </c>
      <c r="W8" s="168">
        <f t="shared" si="7"/>
        <v>9.1297226439082616E-3</v>
      </c>
      <c r="X8" s="164">
        <f t="shared" si="5"/>
        <v>8.8513477569521173E-2</v>
      </c>
      <c r="Y8" s="166"/>
      <c r="Z8" s="163"/>
      <c r="AA8" s="163"/>
      <c r="AB8" s="163"/>
      <c r="AC8" s="163"/>
      <c r="AD8" s="163">
        <f t="shared" si="6"/>
        <v>1.0724292942323186E-2</v>
      </c>
      <c r="AE8" s="163"/>
      <c r="AF8" s="169"/>
    </row>
    <row r="9" spans="1:37" x14ac:dyDescent="0.2">
      <c r="B9" s="162" t="s">
        <v>400</v>
      </c>
      <c r="C9" s="163"/>
      <c r="D9" s="163"/>
      <c r="E9" s="344">
        <v>4.9202912812438493E-2</v>
      </c>
      <c r="F9" s="165">
        <f t="shared" si="0"/>
        <v>0.2543490734756354</v>
      </c>
      <c r="G9" s="166" t="s">
        <v>6</v>
      </c>
      <c r="H9" s="166" t="s">
        <v>208</v>
      </c>
      <c r="I9" s="166" t="s">
        <v>1</v>
      </c>
      <c r="J9" s="166" t="s">
        <v>75</v>
      </c>
      <c r="K9" s="166">
        <v>5</v>
      </c>
      <c r="L9" s="166">
        <v>10</v>
      </c>
      <c r="M9" s="166">
        <v>2</v>
      </c>
      <c r="N9" s="166">
        <v>3</v>
      </c>
      <c r="O9" s="166">
        <v>0</v>
      </c>
      <c r="P9" s="166">
        <v>0</v>
      </c>
      <c r="Q9" s="166">
        <f t="shared" si="1"/>
        <v>146.14599999999999</v>
      </c>
      <c r="R9" s="167" t="s">
        <v>44</v>
      </c>
      <c r="S9" s="166">
        <f t="shared" si="2"/>
        <v>128.13099999999997</v>
      </c>
      <c r="T9" s="166">
        <f t="shared" si="3"/>
        <v>6.3044184215705554</v>
      </c>
      <c r="U9" s="163"/>
      <c r="V9" s="163">
        <f t="shared" si="4"/>
        <v>5.8196430595547563E-2</v>
      </c>
      <c r="W9" s="168">
        <f t="shared" si="7"/>
        <v>3.2590001133506637E-2</v>
      </c>
      <c r="X9" s="164">
        <f t="shared" si="5"/>
        <v>0.2543490734756354</v>
      </c>
      <c r="Y9" s="166"/>
      <c r="Z9" s="163"/>
      <c r="AA9" s="163"/>
      <c r="AB9" s="163"/>
      <c r="AC9" s="163"/>
      <c r="AD9" s="163">
        <f t="shared" si="6"/>
        <v>3.717209969217021E-2</v>
      </c>
      <c r="AE9" s="163"/>
      <c r="AF9" s="169"/>
      <c r="AI9"/>
    </row>
    <row r="10" spans="1:37" x14ac:dyDescent="0.2">
      <c r="B10" s="162" t="s">
        <v>400</v>
      </c>
      <c r="C10" s="163"/>
      <c r="D10" s="163"/>
      <c r="E10" s="344">
        <v>4.9202912812438493E-2</v>
      </c>
      <c r="F10" s="165">
        <f t="shared" si="0"/>
        <v>0.25434907347563546</v>
      </c>
      <c r="G10" s="166" t="s">
        <v>7</v>
      </c>
      <c r="H10" s="166" t="s">
        <v>208</v>
      </c>
      <c r="I10" s="166" t="s">
        <v>1</v>
      </c>
      <c r="J10" s="166" t="s">
        <v>76</v>
      </c>
      <c r="K10" s="166">
        <v>5</v>
      </c>
      <c r="L10" s="166">
        <v>8</v>
      </c>
      <c r="M10" s="166">
        <v>1</v>
      </c>
      <c r="N10" s="166">
        <v>4</v>
      </c>
      <c r="O10" s="166">
        <v>0</v>
      </c>
      <c r="P10" s="166">
        <v>0</v>
      </c>
      <c r="Q10" s="166">
        <f t="shared" si="1"/>
        <v>146.12200000000001</v>
      </c>
      <c r="R10" s="167" t="s">
        <v>44</v>
      </c>
      <c r="S10" s="166">
        <f t="shared" si="2"/>
        <v>128.10700000000003</v>
      </c>
      <c r="T10" s="166">
        <f t="shared" si="3"/>
        <v>6.3032375516630594</v>
      </c>
      <c r="U10" s="163"/>
      <c r="V10" s="163">
        <f t="shared" si="4"/>
        <v>5.8185529920970064E-2</v>
      </c>
      <c r="W10" s="168">
        <f t="shared" si="7"/>
        <v>3.258389675574324E-2</v>
      </c>
      <c r="X10" s="164">
        <f t="shared" si="5"/>
        <v>0.25434907347563546</v>
      </c>
      <c r="Y10" s="166"/>
      <c r="Z10" s="163"/>
      <c r="AA10" s="163"/>
      <c r="AB10" s="163"/>
      <c r="AC10" s="163"/>
      <c r="AD10" s="163">
        <f t="shared" si="6"/>
        <v>3.7165995314406806E-2</v>
      </c>
      <c r="AE10" s="163"/>
      <c r="AF10" s="169"/>
    </row>
    <row r="11" spans="1:37" x14ac:dyDescent="0.2">
      <c r="B11" s="162" t="s">
        <v>400</v>
      </c>
      <c r="C11" s="163"/>
      <c r="D11" s="163"/>
      <c r="E11" s="344">
        <v>0.1145443810273568</v>
      </c>
      <c r="F11" s="165">
        <f t="shared" si="0"/>
        <v>0.59212464305127932</v>
      </c>
      <c r="G11" s="166" t="s">
        <v>8</v>
      </c>
      <c r="H11" s="166" t="s">
        <v>208</v>
      </c>
      <c r="I11" s="166" t="s">
        <v>1</v>
      </c>
      <c r="J11" s="166" t="s">
        <v>77</v>
      </c>
      <c r="K11" s="166">
        <v>2</v>
      </c>
      <c r="L11" s="166">
        <v>5</v>
      </c>
      <c r="M11" s="166">
        <v>1</v>
      </c>
      <c r="N11" s="166">
        <v>2</v>
      </c>
      <c r="O11" s="166">
        <v>0</v>
      </c>
      <c r="P11" s="166">
        <v>0</v>
      </c>
      <c r="Q11" s="166">
        <f t="shared" si="1"/>
        <v>75.067000000000007</v>
      </c>
      <c r="R11" s="167" t="s">
        <v>44</v>
      </c>
      <c r="S11" s="166">
        <f t="shared" si="2"/>
        <v>57.052000000000007</v>
      </c>
      <c r="T11" s="166">
        <f t="shared" si="3"/>
        <v>6.5349860263727608</v>
      </c>
      <c r="U11" s="163"/>
      <c r="V11" s="163">
        <f t="shared" si="4"/>
        <v>6.0324812741717117E-2</v>
      </c>
      <c r="W11" s="168">
        <f t="shared" si="7"/>
        <v>3.3781895135361589E-2</v>
      </c>
      <c r="X11" s="164">
        <f t="shared" si="5"/>
        <v>0.59212464305127932</v>
      </c>
      <c r="Y11" s="166"/>
      <c r="Z11" s="163"/>
      <c r="AA11" s="163"/>
      <c r="AB11" s="163"/>
      <c r="AC11" s="163"/>
      <c r="AD11" s="163">
        <f t="shared" si="6"/>
        <v>4.4449020579930394E-2</v>
      </c>
      <c r="AE11" s="163"/>
      <c r="AF11" s="169"/>
      <c r="AH11" s="49" t="s">
        <v>405</v>
      </c>
      <c r="AI11" s="41"/>
      <c r="AJ11" s="41" t="s">
        <v>105</v>
      </c>
    </row>
    <row r="12" spans="1:37" x14ac:dyDescent="0.2">
      <c r="B12" s="162" t="s">
        <v>400</v>
      </c>
      <c r="C12" s="163"/>
      <c r="D12" s="163"/>
      <c r="E12" s="344">
        <v>1.7713048612477855E-2</v>
      </c>
      <c r="F12" s="165">
        <f t="shared" si="0"/>
        <v>9.1565666451228753E-2</v>
      </c>
      <c r="G12" s="166" t="s">
        <v>9</v>
      </c>
      <c r="H12" s="166" t="s">
        <v>208</v>
      </c>
      <c r="I12" s="166" t="s">
        <v>1</v>
      </c>
      <c r="J12" s="166" t="s">
        <v>80</v>
      </c>
      <c r="K12" s="166">
        <v>6</v>
      </c>
      <c r="L12" s="166">
        <v>9</v>
      </c>
      <c r="M12" s="166">
        <v>3</v>
      </c>
      <c r="N12" s="166">
        <v>2</v>
      </c>
      <c r="O12" s="166">
        <v>0</v>
      </c>
      <c r="P12" s="166">
        <v>0</v>
      </c>
      <c r="Q12" s="166">
        <f t="shared" si="1"/>
        <v>155.15700000000001</v>
      </c>
      <c r="R12" s="167" t="s">
        <v>44</v>
      </c>
      <c r="S12" s="166">
        <f t="shared" si="2"/>
        <v>137.142</v>
      </c>
      <c r="T12" s="166">
        <f t="shared" si="3"/>
        <v>2.4292029128124382</v>
      </c>
      <c r="U12" s="163"/>
      <c r="V12" s="163">
        <f t="shared" si="4"/>
        <v>2.2424104693668595E-2</v>
      </c>
      <c r="W12" s="168">
        <f t="shared" si="7"/>
        <v>1.2557498628454414E-2</v>
      </c>
      <c r="X12" s="164">
        <f t="shared" si="5"/>
        <v>9.1565666451228753E-2</v>
      </c>
      <c r="Y12" s="166"/>
      <c r="Z12" s="163"/>
      <c r="AA12" s="163"/>
      <c r="AB12" s="163"/>
      <c r="AC12" s="163"/>
      <c r="AD12" s="163">
        <f t="shared" si="6"/>
        <v>1.42070541095733E-2</v>
      </c>
      <c r="AE12" s="163"/>
      <c r="AF12" s="169"/>
      <c r="AH12" s="41" t="s">
        <v>103</v>
      </c>
      <c r="AI12" s="149">
        <f>SUM(AD4:AD99)</f>
        <v>42.462142042756312</v>
      </c>
      <c r="AJ12" s="149">
        <f>SUM(AF:AF)</f>
        <v>0.9988973433789412</v>
      </c>
      <c r="AK12" s="29"/>
    </row>
    <row r="13" spans="1:37" x14ac:dyDescent="0.2">
      <c r="B13" s="162" t="s">
        <v>400</v>
      </c>
      <c r="C13" s="163"/>
      <c r="D13" s="163"/>
      <c r="E13" s="344">
        <v>5.4320015744932101E-2</v>
      </c>
      <c r="F13" s="165">
        <f t="shared" si="0"/>
        <v>0.28080137711710151</v>
      </c>
      <c r="G13" s="166" t="s">
        <v>10</v>
      </c>
      <c r="H13" s="166" t="s">
        <v>208</v>
      </c>
      <c r="I13" s="166" t="s">
        <v>1</v>
      </c>
      <c r="J13" s="166" t="s">
        <v>81</v>
      </c>
      <c r="K13" s="166">
        <v>6</v>
      </c>
      <c r="L13" s="166">
        <v>13</v>
      </c>
      <c r="M13" s="166">
        <v>1</v>
      </c>
      <c r="N13" s="166">
        <v>2</v>
      </c>
      <c r="O13" s="166">
        <v>0</v>
      </c>
      <c r="P13" s="166">
        <v>0</v>
      </c>
      <c r="Q13" s="166">
        <f t="shared" si="1"/>
        <v>131.17500000000001</v>
      </c>
      <c r="R13" s="167" t="s">
        <v>44</v>
      </c>
      <c r="S13" s="166">
        <f t="shared" si="2"/>
        <v>113.16000000000001</v>
      </c>
      <c r="T13" s="166">
        <f t="shared" si="3"/>
        <v>6.1468529816965169</v>
      </c>
      <c r="U13" s="163"/>
      <c r="V13" s="163">
        <f t="shared" si="4"/>
        <v>5.6741935418877162E-2</v>
      </c>
      <c r="W13" s="168">
        <f t="shared" si="7"/>
        <v>3.1775483834571211E-2</v>
      </c>
      <c r="X13" s="164">
        <f t="shared" si="5"/>
        <v>0.28080137711710151</v>
      </c>
      <c r="Y13" s="166"/>
      <c r="Z13" s="163"/>
      <c r="AA13" s="163"/>
      <c r="AB13" s="170"/>
      <c r="AC13" s="163"/>
      <c r="AD13" s="163">
        <f t="shared" si="6"/>
        <v>3.6834120643335792E-2</v>
      </c>
      <c r="AE13" s="163"/>
      <c r="AF13" s="169"/>
      <c r="AH13" s="41" t="s">
        <v>104</v>
      </c>
      <c r="AI13" s="149">
        <f>SUM(AD104:AD109)</f>
        <v>41.46324469937737</v>
      </c>
      <c r="AJ13" s="149"/>
      <c r="AK13" s="29"/>
    </row>
    <row r="14" spans="1:37" x14ac:dyDescent="0.2">
      <c r="B14" s="162" t="s">
        <v>400</v>
      </c>
      <c r="C14" s="163"/>
      <c r="D14" s="163"/>
      <c r="E14" s="344">
        <v>8.4235386734894696E-2</v>
      </c>
      <c r="F14" s="165">
        <f t="shared" si="0"/>
        <v>0.43544561379028784</v>
      </c>
      <c r="G14" s="166" t="s">
        <v>11</v>
      </c>
      <c r="H14" s="166" t="s">
        <v>208</v>
      </c>
      <c r="I14" s="166" t="s">
        <v>1</v>
      </c>
      <c r="J14" s="166" t="s">
        <v>81</v>
      </c>
      <c r="K14" s="166">
        <v>6</v>
      </c>
      <c r="L14" s="166">
        <v>13</v>
      </c>
      <c r="M14" s="166">
        <v>1</v>
      </c>
      <c r="N14" s="166">
        <v>2</v>
      </c>
      <c r="O14" s="166">
        <v>0</v>
      </c>
      <c r="P14" s="166">
        <v>0</v>
      </c>
      <c r="Q14" s="166">
        <f t="shared" si="1"/>
        <v>131.17500000000001</v>
      </c>
      <c r="R14" s="167" t="s">
        <v>44</v>
      </c>
      <c r="S14" s="166">
        <f t="shared" si="2"/>
        <v>113.16000000000001</v>
      </c>
      <c r="T14" s="166">
        <f t="shared" si="3"/>
        <v>9.5320763629206855</v>
      </c>
      <c r="U14" s="163"/>
      <c r="V14" s="163">
        <f t="shared" si="4"/>
        <v>8.7991117243766029E-2</v>
      </c>
      <c r="W14" s="168">
        <f t="shared" si="7"/>
        <v>4.9275025656508979E-2</v>
      </c>
      <c r="X14" s="164">
        <f t="shared" si="5"/>
        <v>0.43544561379028784</v>
      </c>
      <c r="Y14" s="166"/>
      <c r="Z14" s="163"/>
      <c r="AA14" s="163"/>
      <c r="AB14" s="170"/>
      <c r="AC14" s="163"/>
      <c r="AD14" s="163">
        <f t="shared" si="6"/>
        <v>5.7119578388941016E-2</v>
      </c>
      <c r="AE14" s="163"/>
      <c r="AF14" s="169"/>
      <c r="AH14" s="41" t="s">
        <v>105</v>
      </c>
      <c r="AI14" s="149">
        <f>AI12-AI13</f>
        <v>0.99889734337894254</v>
      </c>
      <c r="AJ14" s="149"/>
      <c r="AK14" s="8"/>
    </row>
    <row r="15" spans="1:37" x14ac:dyDescent="0.2">
      <c r="B15" s="162" t="s">
        <v>400</v>
      </c>
      <c r="C15" s="163"/>
      <c r="D15" s="163"/>
      <c r="E15" s="344">
        <v>6.4160598307419797E-2</v>
      </c>
      <c r="F15" s="165">
        <f t="shared" si="0"/>
        <v>0.33167119181222859</v>
      </c>
      <c r="G15" s="166" t="s">
        <v>12</v>
      </c>
      <c r="H15" s="166" t="s">
        <v>208</v>
      </c>
      <c r="I15" s="166" t="s">
        <v>1</v>
      </c>
      <c r="J15" s="166" t="s">
        <v>82</v>
      </c>
      <c r="K15" s="166">
        <v>6</v>
      </c>
      <c r="L15" s="166">
        <v>15</v>
      </c>
      <c r="M15" s="166">
        <v>2</v>
      </c>
      <c r="N15" s="166">
        <v>2</v>
      </c>
      <c r="O15" s="166">
        <v>0</v>
      </c>
      <c r="P15" s="166">
        <v>0</v>
      </c>
      <c r="Q15" s="166">
        <f t="shared" si="1"/>
        <v>147.19800000000001</v>
      </c>
      <c r="R15" s="167" t="s">
        <v>44</v>
      </c>
      <c r="S15" s="166">
        <f t="shared" si="2"/>
        <v>129.18299999999999</v>
      </c>
      <c r="T15" s="166">
        <f t="shared" si="3"/>
        <v>8.2884585711474106</v>
      </c>
      <c r="U15" s="163"/>
      <c r="V15" s="163">
        <f t="shared" si="4"/>
        <v>7.651121352121272E-2</v>
      </c>
      <c r="W15" s="168">
        <f t="shared" si="7"/>
        <v>4.2846279571879128E-2</v>
      </c>
      <c r="X15" s="164">
        <f t="shared" si="5"/>
        <v>0.33167119181222859</v>
      </c>
      <c r="Y15" s="166"/>
      <c r="Z15" s="163"/>
      <c r="AA15" s="163"/>
      <c r="AB15" s="170"/>
      <c r="AC15" s="163"/>
      <c r="AD15" s="163">
        <f t="shared" si="6"/>
        <v>4.8821336092376426E-2</v>
      </c>
      <c r="AE15" s="163"/>
      <c r="AF15" s="169"/>
      <c r="AH15" s="41"/>
      <c r="AI15" s="149"/>
      <c r="AJ15" s="149"/>
      <c r="AK15" s="29"/>
    </row>
    <row r="16" spans="1:37" x14ac:dyDescent="0.2">
      <c r="B16" s="162" t="s">
        <v>400</v>
      </c>
      <c r="C16" s="163"/>
      <c r="D16" s="163"/>
      <c r="E16" s="344">
        <v>2.8734501082464076E-2</v>
      </c>
      <c r="F16" s="165">
        <f t="shared" si="0"/>
        <v>0.14853985890977109</v>
      </c>
      <c r="G16" s="166" t="s">
        <v>13</v>
      </c>
      <c r="H16" s="166" t="s">
        <v>208</v>
      </c>
      <c r="I16" s="166" t="s">
        <v>1</v>
      </c>
      <c r="J16" s="166" t="s">
        <v>83</v>
      </c>
      <c r="K16" s="166">
        <v>5</v>
      </c>
      <c r="L16" s="166">
        <v>11</v>
      </c>
      <c r="M16" s="166">
        <v>1</v>
      </c>
      <c r="N16" s="166">
        <v>2</v>
      </c>
      <c r="O16" s="166">
        <v>0</v>
      </c>
      <c r="P16" s="166">
        <v>1</v>
      </c>
      <c r="Q16" s="166">
        <f t="shared" si="1"/>
        <v>149.214</v>
      </c>
      <c r="R16" s="167" t="s">
        <v>44</v>
      </c>
      <c r="S16" s="166">
        <f t="shared" si="2"/>
        <v>131.19900000000001</v>
      </c>
      <c r="T16" s="166">
        <f t="shared" si="3"/>
        <v>3.7699378075182048</v>
      </c>
      <c r="U16" s="163"/>
      <c r="V16" s="163">
        <f t="shared" si="4"/>
        <v>3.4800501694826888E-2</v>
      </c>
      <c r="W16" s="168">
        <f t="shared" si="7"/>
        <v>1.948828094910306E-2</v>
      </c>
      <c r="X16" s="164">
        <f t="shared" si="5"/>
        <v>0.14853985890977109</v>
      </c>
      <c r="Y16" s="166"/>
      <c r="Z16" s="163"/>
      <c r="AA16" s="163"/>
      <c r="AB16" s="170"/>
      <c r="AC16" s="163"/>
      <c r="AD16" s="163">
        <f t="shared" si="6"/>
        <v>2.2164226507362581E-2</v>
      </c>
      <c r="AE16" s="163"/>
      <c r="AF16" s="169"/>
      <c r="AH16" s="55" t="s">
        <v>108</v>
      </c>
      <c r="AI16" s="41"/>
      <c r="AJ16" s="149"/>
    </row>
    <row r="17" spans="2:36" x14ac:dyDescent="0.2">
      <c r="B17" s="162" t="s">
        <v>400</v>
      </c>
      <c r="C17" s="163"/>
      <c r="D17" s="163"/>
      <c r="E17" s="344">
        <v>3.4638850619956696E-2</v>
      </c>
      <c r="F17" s="165">
        <f t="shared" si="0"/>
        <v>0.17906174772684735</v>
      </c>
      <c r="G17" s="166" t="s">
        <v>14</v>
      </c>
      <c r="H17" s="166" t="s">
        <v>208</v>
      </c>
      <c r="I17" s="166" t="s">
        <v>1</v>
      </c>
      <c r="J17" s="166" t="s">
        <v>88</v>
      </c>
      <c r="K17" s="166">
        <v>9</v>
      </c>
      <c r="L17" s="166">
        <v>11</v>
      </c>
      <c r="M17" s="166">
        <v>1</v>
      </c>
      <c r="N17" s="166">
        <v>2</v>
      </c>
      <c r="O17" s="166">
        <v>0</v>
      </c>
      <c r="P17" s="166">
        <v>0</v>
      </c>
      <c r="Q17" s="166">
        <f t="shared" si="1"/>
        <v>165.19199999999998</v>
      </c>
      <c r="R17" s="167" t="s">
        <v>44</v>
      </c>
      <c r="S17" s="166">
        <f t="shared" si="2"/>
        <v>147.17699999999996</v>
      </c>
      <c r="T17" s="166">
        <f t="shared" si="3"/>
        <v>5.0980421176933657</v>
      </c>
      <c r="U17" s="163"/>
      <c r="V17" s="163">
        <f t="shared" si="4"/>
        <v>4.7060305080703933E-2</v>
      </c>
      <c r="W17" s="168">
        <f t="shared" si="7"/>
        <v>2.6353770845194205E-2</v>
      </c>
      <c r="X17" s="164">
        <f t="shared" si="5"/>
        <v>0.17906174772684735</v>
      </c>
      <c r="Y17" s="166"/>
      <c r="Z17" s="163"/>
      <c r="AA17" s="163"/>
      <c r="AB17" s="170"/>
      <c r="AC17" s="163"/>
      <c r="AD17" s="163">
        <f t="shared" si="6"/>
        <v>2.9579568230493365E-2</v>
      </c>
      <c r="AE17" s="163"/>
      <c r="AF17" s="169"/>
      <c r="AH17" s="55" t="s">
        <v>103</v>
      </c>
      <c r="AI17" s="41">
        <f>SUM(AD98:AD99)</f>
        <v>41.276268000000002</v>
      </c>
      <c r="AJ17" s="149"/>
    </row>
    <row r="18" spans="2:36" x14ac:dyDescent="0.2">
      <c r="B18" s="162" t="s">
        <v>400</v>
      </c>
      <c r="C18" s="163"/>
      <c r="D18" s="163"/>
      <c r="E18" s="344">
        <v>4.1330446762448333E-2</v>
      </c>
      <c r="F18" s="165">
        <f t="shared" si="0"/>
        <v>0.21365322171953377</v>
      </c>
      <c r="G18" s="166" t="s">
        <v>15</v>
      </c>
      <c r="H18" s="166" t="s">
        <v>208</v>
      </c>
      <c r="I18" s="166" t="s">
        <v>1</v>
      </c>
      <c r="J18" s="166" t="s">
        <v>91</v>
      </c>
      <c r="K18" s="166">
        <v>5</v>
      </c>
      <c r="L18" s="166">
        <v>9</v>
      </c>
      <c r="M18" s="166">
        <v>1</v>
      </c>
      <c r="N18" s="166">
        <v>2</v>
      </c>
      <c r="O18" s="166">
        <v>0</v>
      </c>
      <c r="P18" s="166">
        <v>0</v>
      </c>
      <c r="Q18" s="166">
        <f t="shared" si="1"/>
        <v>115.13200000000001</v>
      </c>
      <c r="R18" s="167" t="s">
        <v>44</v>
      </c>
      <c r="S18" s="166">
        <f t="shared" si="2"/>
        <v>97.117000000000004</v>
      </c>
      <c r="T18" s="166">
        <f t="shared" si="3"/>
        <v>4.0138889982286949</v>
      </c>
      <c r="U18" s="163"/>
      <c r="V18" s="163">
        <f t="shared" si="4"/>
        <v>3.7052428453099931E-2</v>
      </c>
      <c r="W18" s="168">
        <f t="shared" si="7"/>
        <v>2.0749359933735962E-2</v>
      </c>
      <c r="X18" s="164">
        <f t="shared" si="5"/>
        <v>0.21365322171953377</v>
      </c>
      <c r="Y18" s="166"/>
      <c r="Z18" s="163"/>
      <c r="AA18" s="164"/>
      <c r="AB18" s="170"/>
      <c r="AC18" s="163"/>
      <c r="AD18" s="163">
        <f t="shared" si="6"/>
        <v>2.4598322723013363E-2</v>
      </c>
      <c r="AE18" s="163"/>
      <c r="AF18" s="169"/>
      <c r="AH18" s="55" t="s">
        <v>104</v>
      </c>
      <c r="AI18" s="41">
        <f>SUM(AD104:AD106)</f>
        <v>41.276268000000002</v>
      </c>
      <c r="AJ18" s="149"/>
    </row>
    <row r="19" spans="2:36" x14ac:dyDescent="0.2">
      <c r="B19" s="162" t="s">
        <v>400</v>
      </c>
      <c r="C19" s="163"/>
      <c r="D19" s="163"/>
      <c r="E19" s="344">
        <v>4.0346388506199558E-2</v>
      </c>
      <c r="F19" s="165">
        <f t="shared" si="0"/>
        <v>0.20856624025002102</v>
      </c>
      <c r="G19" s="166" t="s">
        <v>16</v>
      </c>
      <c r="H19" s="166" t="s">
        <v>208</v>
      </c>
      <c r="I19" s="166" t="s">
        <v>1</v>
      </c>
      <c r="J19" s="166" t="s">
        <v>93</v>
      </c>
      <c r="K19" s="166">
        <v>3</v>
      </c>
      <c r="L19" s="166">
        <v>7</v>
      </c>
      <c r="M19" s="166">
        <v>1</v>
      </c>
      <c r="N19" s="166">
        <v>3</v>
      </c>
      <c r="O19" s="166">
        <v>0</v>
      </c>
      <c r="P19" s="166">
        <v>0</v>
      </c>
      <c r="Q19" s="166">
        <f t="shared" si="1"/>
        <v>105.093</v>
      </c>
      <c r="R19" s="167" t="s">
        <v>44</v>
      </c>
      <c r="S19" s="166">
        <f t="shared" si="2"/>
        <v>87.078000000000003</v>
      </c>
      <c r="T19" s="166">
        <f t="shared" si="3"/>
        <v>3.5132828183428453</v>
      </c>
      <c r="U19" s="163"/>
      <c r="V19" s="163">
        <f t="shared" si="4"/>
        <v>3.2431305479448808E-2</v>
      </c>
      <c r="W19" s="168">
        <f t="shared" si="7"/>
        <v>1.8161531068491332E-2</v>
      </c>
      <c r="X19" s="164">
        <f t="shared" si="5"/>
        <v>0.20856624025002102</v>
      </c>
      <c r="Y19" s="166"/>
      <c r="Z19" s="163"/>
      <c r="AA19" s="163"/>
      <c r="AB19" s="170"/>
      <c r="AC19" s="163"/>
      <c r="AD19" s="163">
        <f t="shared" si="6"/>
        <v>2.191885188659546E-2</v>
      </c>
      <c r="AE19" s="163"/>
      <c r="AF19" s="169"/>
      <c r="AH19" s="55" t="s">
        <v>105</v>
      </c>
      <c r="AI19" s="41">
        <f>AI17-AI18</f>
        <v>0</v>
      </c>
      <c r="AJ19" s="149"/>
    </row>
    <row r="20" spans="2:36" x14ac:dyDescent="0.2">
      <c r="B20" s="162" t="s">
        <v>400</v>
      </c>
      <c r="C20" s="163"/>
      <c r="D20" s="163"/>
      <c r="E20" s="344">
        <v>4.7431607951190703E-2</v>
      </c>
      <c r="F20" s="165">
        <f t="shared" si="0"/>
        <v>0.24519250683051255</v>
      </c>
      <c r="G20" s="166" t="s">
        <v>17</v>
      </c>
      <c r="H20" s="166" t="s">
        <v>208</v>
      </c>
      <c r="I20" s="166" t="s">
        <v>1</v>
      </c>
      <c r="J20" s="166" t="s">
        <v>96</v>
      </c>
      <c r="K20" s="166">
        <v>4</v>
      </c>
      <c r="L20" s="166">
        <v>9</v>
      </c>
      <c r="M20" s="166">
        <v>1</v>
      </c>
      <c r="N20" s="166">
        <v>3</v>
      </c>
      <c r="O20" s="166">
        <v>0</v>
      </c>
      <c r="P20" s="166">
        <v>0</v>
      </c>
      <c r="Q20" s="166">
        <f t="shared" si="1"/>
        <v>119.12</v>
      </c>
      <c r="R20" s="167" t="s">
        <v>44</v>
      </c>
      <c r="S20" s="166">
        <f t="shared" si="2"/>
        <v>101.105</v>
      </c>
      <c r="T20" s="166">
        <f t="shared" si="3"/>
        <v>4.7955727219051365</v>
      </c>
      <c r="U20" s="163"/>
      <c r="V20" s="163">
        <f t="shared" si="4"/>
        <v>4.4268193576962447E-2</v>
      </c>
      <c r="W20" s="168">
        <f t="shared" si="7"/>
        <v>2.4790188403098972E-2</v>
      </c>
      <c r="X20" s="164">
        <f t="shared" si="5"/>
        <v>0.24519250683051255</v>
      </c>
      <c r="Y20" s="166"/>
      <c r="Z20" s="163"/>
      <c r="AA20" s="163"/>
      <c r="AB20" s="170"/>
      <c r="AC20" s="163"/>
      <c r="AD20" s="163">
        <f t="shared" si="6"/>
        <v>2.9207331413650658E-2</v>
      </c>
      <c r="AE20" s="163"/>
      <c r="AF20" s="169"/>
    </row>
    <row r="21" spans="2:36" x14ac:dyDescent="0.2">
      <c r="B21" s="162" t="s">
        <v>400</v>
      </c>
      <c r="C21" s="163"/>
      <c r="D21" s="163"/>
      <c r="E21" s="344">
        <v>1.0627829167486714E-2</v>
      </c>
      <c r="F21" s="165">
        <f t="shared" si="0"/>
        <v>5.493939987073726E-2</v>
      </c>
      <c r="G21" s="166" t="s">
        <v>18</v>
      </c>
      <c r="H21" s="166" t="s">
        <v>208</v>
      </c>
      <c r="I21" s="166" t="s">
        <v>1</v>
      </c>
      <c r="J21" s="166" t="s">
        <v>97</v>
      </c>
      <c r="K21" s="166">
        <v>11</v>
      </c>
      <c r="L21" s="166">
        <v>12</v>
      </c>
      <c r="M21" s="166">
        <v>2</v>
      </c>
      <c r="N21" s="166">
        <v>2</v>
      </c>
      <c r="O21" s="166">
        <v>0</v>
      </c>
      <c r="P21" s="166">
        <v>0</v>
      </c>
      <c r="Q21" s="166">
        <f t="shared" si="1"/>
        <v>204.22899999999998</v>
      </c>
      <c r="R21" s="167" t="s">
        <v>44</v>
      </c>
      <c r="S21" s="166">
        <f t="shared" si="2"/>
        <v>186.214</v>
      </c>
      <c r="T21" s="166">
        <f t="shared" si="3"/>
        <v>1.979050580594371</v>
      </c>
      <c r="U21" s="163"/>
      <c r="V21" s="163">
        <f t="shared" si="4"/>
        <v>1.8268723942016906E-2</v>
      </c>
      <c r="W21" s="168">
        <f t="shared" si="7"/>
        <v>1.0230485407529468E-2</v>
      </c>
      <c r="X21" s="164">
        <f t="shared" si="5"/>
        <v>5.493939987073726E-2</v>
      </c>
      <c r="Y21" s="166"/>
      <c r="Z21" s="163"/>
      <c r="AA21" s="163"/>
      <c r="AB21" s="170"/>
      <c r="AC21" s="163"/>
      <c r="AD21" s="163">
        <f t="shared" si="6"/>
        <v>1.1220218696200799E-2</v>
      </c>
      <c r="AE21" s="163"/>
      <c r="AF21" s="169"/>
    </row>
    <row r="22" spans="2:36" x14ac:dyDescent="0.2">
      <c r="B22" s="162" t="s">
        <v>400</v>
      </c>
      <c r="C22" s="163"/>
      <c r="D22" s="163"/>
      <c r="E22" s="344">
        <v>2.5782326313717772E-2</v>
      </c>
      <c r="F22" s="165">
        <f t="shared" si="0"/>
        <v>0.13327891450123297</v>
      </c>
      <c r="G22" s="166" t="s">
        <v>19</v>
      </c>
      <c r="H22" s="166" t="s">
        <v>208</v>
      </c>
      <c r="I22" s="166" t="s">
        <v>1</v>
      </c>
      <c r="J22" s="166" t="s">
        <v>98</v>
      </c>
      <c r="K22" s="166">
        <v>9</v>
      </c>
      <c r="L22" s="166">
        <v>11</v>
      </c>
      <c r="M22" s="166">
        <v>1</v>
      </c>
      <c r="N22" s="166">
        <v>3</v>
      </c>
      <c r="O22" s="166">
        <v>0</v>
      </c>
      <c r="P22" s="166">
        <v>0</v>
      </c>
      <c r="Q22" s="166">
        <f t="shared" si="1"/>
        <v>181.19099999999997</v>
      </c>
      <c r="R22" s="167" t="s">
        <v>44</v>
      </c>
      <c r="S22" s="166">
        <f t="shared" si="2"/>
        <v>163.17599999999999</v>
      </c>
      <c r="T22" s="166">
        <f t="shared" si="3"/>
        <v>4.2070568785672107</v>
      </c>
      <c r="U22" s="163"/>
      <c r="V22" s="163">
        <f t="shared" si="4"/>
        <v>3.8835571701166409E-2</v>
      </c>
      <c r="W22" s="168">
        <f t="shared" si="7"/>
        <v>2.1747920152653193E-2</v>
      </c>
      <c r="X22" s="164">
        <f t="shared" si="5"/>
        <v>0.13327891450123297</v>
      </c>
      <c r="Y22" s="166"/>
      <c r="Z22" s="163"/>
      <c r="AA22" s="163"/>
      <c r="AB22" s="171"/>
      <c r="AC22" s="163"/>
      <c r="AD22" s="163">
        <f t="shared" si="6"/>
        <v>2.4148939797392899E-2</v>
      </c>
      <c r="AE22" s="163"/>
      <c r="AF22" s="169"/>
      <c r="AH22" s="2"/>
    </row>
    <row r="23" spans="2:36" x14ac:dyDescent="0.2">
      <c r="B23" s="162" t="s">
        <v>400</v>
      </c>
      <c r="C23" s="163"/>
      <c r="D23" s="163"/>
      <c r="E23" s="344">
        <v>7.9118283802401101E-2</v>
      </c>
      <c r="F23" s="165">
        <f t="shared" si="0"/>
        <v>0.40899331014882179</v>
      </c>
      <c r="G23" s="166" t="s">
        <v>20</v>
      </c>
      <c r="H23" s="166" t="s">
        <v>208</v>
      </c>
      <c r="I23" s="166" t="s">
        <v>1</v>
      </c>
      <c r="J23" s="166" t="s">
        <v>100</v>
      </c>
      <c r="K23" s="166">
        <v>5</v>
      </c>
      <c r="L23" s="166">
        <v>11</v>
      </c>
      <c r="M23" s="166">
        <v>1</v>
      </c>
      <c r="N23" s="166">
        <v>2</v>
      </c>
      <c r="O23" s="166">
        <v>0</v>
      </c>
      <c r="P23" s="166">
        <v>0</v>
      </c>
      <c r="Q23" s="166">
        <f t="shared" si="1"/>
        <v>117.14800000000001</v>
      </c>
      <c r="R23" s="167" t="s">
        <v>44</v>
      </c>
      <c r="S23" s="166">
        <f t="shared" si="2"/>
        <v>99.13300000000001</v>
      </c>
      <c r="T23" s="166">
        <f t="shared" si="3"/>
        <v>7.8432328281834289</v>
      </c>
      <c r="U23" s="163"/>
      <c r="V23" s="163">
        <f t="shared" si="4"/>
        <v>7.2401310383898493E-2</v>
      </c>
      <c r="W23" s="168">
        <f t="shared" si="7"/>
        <v>4.0544733814983157E-2</v>
      </c>
      <c r="X23" s="164">
        <f t="shared" si="5"/>
        <v>0.40899331014882179</v>
      </c>
      <c r="Y23" s="166"/>
      <c r="Z23" s="172">
        <f>SUM(X4:X23)</f>
        <v>5.169390569318816</v>
      </c>
      <c r="AA23" s="166" t="s">
        <v>102</v>
      </c>
      <c r="AB23" s="173">
        <f>SUM(W4:W23)</f>
        <v>0.55999999999999994</v>
      </c>
      <c r="AC23" s="163"/>
      <c r="AD23" s="163">
        <f t="shared" si="6"/>
        <v>4.7912748297314178E-2</v>
      </c>
      <c r="AE23" s="163">
        <f>SUM(AD4:AD23)</f>
        <v>0.65312657110627848</v>
      </c>
      <c r="AF23" s="174">
        <f>AE23-AD109</f>
        <v>0.56000000000000005</v>
      </c>
    </row>
    <row r="24" spans="2:36" x14ac:dyDescent="0.2">
      <c r="B24" s="275" t="s">
        <v>136</v>
      </c>
      <c r="C24" s="175" t="s">
        <v>35</v>
      </c>
      <c r="D24" s="343">
        <v>4.9000000000000002E-2</v>
      </c>
      <c r="E24" s="343">
        <f>(1-0.5946)/2</f>
        <v>0.20269999999999999</v>
      </c>
      <c r="F24" s="177">
        <f t="shared" si="0"/>
        <v>3.231183945942382E-2</v>
      </c>
      <c r="G24" s="175" t="s">
        <v>34</v>
      </c>
      <c r="H24" s="175" t="s">
        <v>208</v>
      </c>
      <c r="I24" s="175" t="s">
        <v>35</v>
      </c>
      <c r="J24" s="175" t="s">
        <v>58</v>
      </c>
      <c r="K24" s="175">
        <v>10</v>
      </c>
      <c r="L24" s="175">
        <v>12</v>
      </c>
      <c r="M24" s="175">
        <v>5</v>
      </c>
      <c r="N24" s="175">
        <v>12</v>
      </c>
      <c r="O24" s="175">
        <v>3</v>
      </c>
      <c r="P24" s="178">
        <v>0</v>
      </c>
      <c r="Q24" s="178">
        <f t="shared" si="1"/>
        <v>487.15099999999995</v>
      </c>
      <c r="R24" s="179" t="s">
        <v>47</v>
      </c>
      <c r="S24" s="180">
        <f>Q24-$Q$107</f>
        <v>312.20199999999994</v>
      </c>
      <c r="T24" s="180">
        <f t="shared" si="3"/>
        <v>63.283345399999988</v>
      </c>
      <c r="U24" s="175">
        <f>SUM(T24:T27)</f>
        <v>307.38887560000001</v>
      </c>
      <c r="V24" s="175">
        <f>T24/$U$24</f>
        <v>0.20587389597777619</v>
      </c>
      <c r="W24" s="181">
        <f>V24*$D$24</f>
        <v>1.0087820902911033E-2</v>
      </c>
      <c r="X24" s="182">
        <f t="shared" ref="X24:X37" si="8">W24/S24*1000</f>
        <v>3.231183945942382E-2</v>
      </c>
      <c r="Y24" s="180"/>
      <c r="Z24" s="175"/>
      <c r="AA24" s="175"/>
      <c r="AB24" s="183"/>
      <c r="AC24" s="175"/>
      <c r="AD24" s="175">
        <f t="shared" si="6"/>
        <v>1.5740744904497773E-2</v>
      </c>
      <c r="AE24" s="175"/>
      <c r="AF24" s="187"/>
    </row>
    <row r="25" spans="2:36" x14ac:dyDescent="0.2">
      <c r="B25" s="275" t="s">
        <v>136</v>
      </c>
      <c r="C25" s="283" t="s">
        <v>413</v>
      </c>
      <c r="D25" s="175"/>
      <c r="E25" s="343">
        <f>0.5946/2</f>
        <v>0.29730000000000001</v>
      </c>
      <c r="F25" s="177">
        <f t="shared" si="0"/>
        <v>4.7391760588488915E-2</v>
      </c>
      <c r="G25" s="175" t="s">
        <v>36</v>
      </c>
      <c r="H25" s="175" t="s">
        <v>208</v>
      </c>
      <c r="I25" s="175" t="s">
        <v>35</v>
      </c>
      <c r="J25" s="175" t="s">
        <v>72</v>
      </c>
      <c r="K25" s="175">
        <v>9</v>
      </c>
      <c r="L25" s="175">
        <v>10</v>
      </c>
      <c r="M25" s="175">
        <v>3</v>
      </c>
      <c r="N25" s="175">
        <v>13</v>
      </c>
      <c r="O25" s="175">
        <v>3</v>
      </c>
      <c r="P25" s="178">
        <v>0</v>
      </c>
      <c r="Q25" s="178">
        <f t="shared" si="1"/>
        <v>461.10900000000004</v>
      </c>
      <c r="R25" s="179" t="s">
        <v>47</v>
      </c>
      <c r="S25" s="180">
        <f>Q25-$Q$107</f>
        <v>286.16000000000003</v>
      </c>
      <c r="T25" s="180">
        <f t="shared" si="3"/>
        <v>85.075368000000012</v>
      </c>
      <c r="U25" s="178"/>
      <c r="V25" s="175">
        <f>T25/$U$24</f>
        <v>0.27676788183677525</v>
      </c>
      <c r="W25" s="181">
        <f>V25*$D$24</f>
        <v>1.3561626210001988E-2</v>
      </c>
      <c r="X25" s="182">
        <f t="shared" si="8"/>
        <v>4.7391760588488915E-2</v>
      </c>
      <c r="Y25" s="180"/>
      <c r="Z25" s="175"/>
      <c r="AA25" s="175"/>
      <c r="AB25" s="183"/>
      <c r="AC25" s="175"/>
      <c r="AD25" s="175">
        <f t="shared" si="6"/>
        <v>2.1852767333197538E-2</v>
      </c>
      <c r="AE25" s="175"/>
      <c r="AF25" s="187"/>
    </row>
    <row r="26" spans="2:36" x14ac:dyDescent="0.2">
      <c r="B26" s="275" t="s">
        <v>136</v>
      </c>
      <c r="C26" s="283" t="s">
        <v>413</v>
      </c>
      <c r="D26" s="175"/>
      <c r="E26" s="343">
        <f>0.5946/2</f>
        <v>0.29730000000000001</v>
      </c>
      <c r="F26" s="177">
        <f t="shared" si="0"/>
        <v>4.7391760588488915E-2</v>
      </c>
      <c r="G26" s="175" t="s">
        <v>37</v>
      </c>
      <c r="H26" s="175" t="s">
        <v>208</v>
      </c>
      <c r="I26" s="175" t="s">
        <v>35</v>
      </c>
      <c r="J26" s="175" t="s">
        <v>68</v>
      </c>
      <c r="K26" s="175">
        <v>10</v>
      </c>
      <c r="L26" s="175">
        <v>12</v>
      </c>
      <c r="M26" s="175">
        <v>5</v>
      </c>
      <c r="N26" s="175">
        <v>13</v>
      </c>
      <c r="O26" s="175">
        <v>3</v>
      </c>
      <c r="P26" s="178">
        <v>0</v>
      </c>
      <c r="Q26" s="178">
        <f t="shared" si="1"/>
        <v>503.15</v>
      </c>
      <c r="R26" s="179" t="s">
        <v>47</v>
      </c>
      <c r="S26" s="180">
        <f>Q26-$Q$107</f>
        <v>328.20099999999996</v>
      </c>
      <c r="T26" s="180">
        <f t="shared" si="3"/>
        <v>97.574157299999996</v>
      </c>
      <c r="U26" s="178"/>
      <c r="V26" s="175">
        <f>T26/$U$24</f>
        <v>0.31742904524291116</v>
      </c>
      <c r="W26" s="181">
        <f>V26*$D$24</f>
        <v>1.5554023216902647E-2</v>
      </c>
      <c r="X26" s="182">
        <f t="shared" si="8"/>
        <v>4.7391760588488915E-2</v>
      </c>
      <c r="Y26" s="180"/>
      <c r="Z26" s="180"/>
      <c r="AA26" s="175"/>
      <c r="AB26" s="183"/>
      <c r="AC26" s="175"/>
      <c r="AD26" s="175">
        <f t="shared" si="6"/>
        <v>2.3845164340098198E-2</v>
      </c>
      <c r="AE26" s="175"/>
      <c r="AF26" s="187"/>
    </row>
    <row r="27" spans="2:36" x14ac:dyDescent="0.2">
      <c r="B27" s="275" t="s">
        <v>136</v>
      </c>
      <c r="C27" s="283" t="s">
        <v>413</v>
      </c>
      <c r="D27" s="175"/>
      <c r="E27" s="343">
        <f>(1-0.5946)/2</f>
        <v>0.20269999999999999</v>
      </c>
      <c r="F27" s="177">
        <f t="shared" si="0"/>
        <v>3.231183945942382E-2</v>
      </c>
      <c r="G27" s="175" t="s">
        <v>38</v>
      </c>
      <c r="H27" s="175" t="s">
        <v>208</v>
      </c>
      <c r="I27" s="175" t="s">
        <v>35</v>
      </c>
      <c r="J27" s="175" t="s">
        <v>73</v>
      </c>
      <c r="K27" s="175">
        <v>10</v>
      </c>
      <c r="L27" s="175">
        <v>13</v>
      </c>
      <c r="M27" s="175">
        <v>2</v>
      </c>
      <c r="N27" s="175">
        <v>14</v>
      </c>
      <c r="O27" s="175">
        <v>3</v>
      </c>
      <c r="P27" s="178">
        <v>0</v>
      </c>
      <c r="Q27" s="178">
        <f t="shared" si="1"/>
        <v>478.13600000000008</v>
      </c>
      <c r="R27" s="179" t="s">
        <v>47</v>
      </c>
      <c r="S27" s="180">
        <f>Q27-$Q$107</f>
        <v>303.18700000000007</v>
      </c>
      <c r="T27" s="180">
        <f t="shared" si="3"/>
        <v>61.456004900000011</v>
      </c>
      <c r="U27" s="178"/>
      <c r="V27" s="175">
        <f>T27/$U$24</f>
        <v>0.19992917694253737</v>
      </c>
      <c r="W27" s="181">
        <f>V27*$D$24</f>
        <v>9.7965296701843316E-3</v>
      </c>
      <c r="X27" s="182">
        <f t="shared" si="8"/>
        <v>3.231183945942382E-2</v>
      </c>
      <c r="Y27" s="180"/>
      <c r="Z27" s="185">
        <f>SUM(X24:X27)</f>
        <v>0.15940720009582546</v>
      </c>
      <c r="AA27" s="175" t="s">
        <v>35</v>
      </c>
      <c r="AB27" s="186">
        <f>SUM(W24:W27)</f>
        <v>4.9000000000000002E-2</v>
      </c>
      <c r="AC27" s="175"/>
      <c r="AD27" s="175">
        <f t="shared" si="6"/>
        <v>1.5449453671771071E-2</v>
      </c>
      <c r="AE27" s="175">
        <f>SUM(AD24:AD27)</f>
        <v>7.6888130249564576E-2</v>
      </c>
      <c r="AF27" s="187">
        <f>AE27-AD107</f>
        <v>4.9000000000000009E-2</v>
      </c>
      <c r="AG27" s="30"/>
    </row>
    <row r="28" spans="2:36" x14ac:dyDescent="0.2">
      <c r="B28" s="276" t="s">
        <v>401</v>
      </c>
      <c r="C28" s="189" t="s">
        <v>41</v>
      </c>
      <c r="D28" s="339">
        <v>0.122</v>
      </c>
      <c r="E28" s="345">
        <v>0.2</v>
      </c>
      <c r="F28" s="191">
        <f t="shared" si="0"/>
        <v>7.5407116384237208E-2</v>
      </c>
      <c r="G28" s="189" t="s">
        <v>40</v>
      </c>
      <c r="H28" s="189" t="s">
        <v>208</v>
      </c>
      <c r="I28" s="189" t="s">
        <v>41</v>
      </c>
      <c r="J28" s="189" t="s">
        <v>70</v>
      </c>
      <c r="K28" s="189">
        <v>9</v>
      </c>
      <c r="L28" s="189">
        <v>12</v>
      </c>
      <c r="M28" s="189">
        <v>3</v>
      </c>
      <c r="N28" s="189">
        <v>14</v>
      </c>
      <c r="O28" s="189">
        <v>3</v>
      </c>
      <c r="P28" s="192">
        <v>0</v>
      </c>
      <c r="Q28" s="192">
        <f t="shared" si="1"/>
        <v>479.12400000000002</v>
      </c>
      <c r="R28" s="193" t="s">
        <v>47</v>
      </c>
      <c r="S28" s="194">
        <f>Q28-$Q$108</f>
        <v>304.17500000000001</v>
      </c>
      <c r="T28" s="194">
        <f t="shared" si="3"/>
        <v>60.835000000000008</v>
      </c>
      <c r="U28" s="189">
        <f>SUM(T28:T31)</f>
        <v>323.57688730158731</v>
      </c>
      <c r="V28" s="189">
        <f>T28/$U$28</f>
        <v>0.18800786578832257</v>
      </c>
      <c r="W28" s="195">
        <f>V28*$D$28</f>
        <v>2.2936959626175354E-2</v>
      </c>
      <c r="X28" s="196">
        <f t="shared" si="8"/>
        <v>7.5407116384237208E-2</v>
      </c>
      <c r="Y28" s="194"/>
      <c r="Z28" s="194"/>
      <c r="AA28" s="189"/>
      <c r="AB28" s="197"/>
      <c r="AC28" s="189"/>
      <c r="AD28" s="189">
        <f t="shared" si="6"/>
        <v>3.6129359230481273E-2</v>
      </c>
      <c r="AE28" s="189"/>
      <c r="AF28" s="201"/>
    </row>
    <row r="29" spans="2:36" x14ac:dyDescent="0.2">
      <c r="B29" s="276" t="s">
        <v>401</v>
      </c>
      <c r="C29" s="189"/>
      <c r="D29" s="272"/>
      <c r="E29" s="345">
        <v>0.32222222222222224</v>
      </c>
      <c r="F29" s="191">
        <f t="shared" si="0"/>
        <v>0.1214892430634933</v>
      </c>
      <c r="G29" s="189" t="s">
        <v>42</v>
      </c>
      <c r="H29" s="189" t="s">
        <v>208</v>
      </c>
      <c r="I29" s="189" t="s">
        <v>41</v>
      </c>
      <c r="J29" s="189" t="s">
        <v>78</v>
      </c>
      <c r="K29" s="189">
        <v>10</v>
      </c>
      <c r="L29" s="189">
        <v>12</v>
      </c>
      <c r="M29" s="189">
        <v>5</v>
      </c>
      <c r="N29" s="189">
        <v>14</v>
      </c>
      <c r="O29" s="189">
        <v>3</v>
      </c>
      <c r="P29" s="192">
        <v>0</v>
      </c>
      <c r="Q29" s="192">
        <f t="shared" si="1"/>
        <v>519.149</v>
      </c>
      <c r="R29" s="193" t="s">
        <v>47</v>
      </c>
      <c r="S29" s="194">
        <f>Q29-$Q$108</f>
        <v>344.2</v>
      </c>
      <c r="T29" s="194">
        <f t="shared" si="3"/>
        <v>110.9088888888889</v>
      </c>
      <c r="U29" s="192"/>
      <c r="V29" s="189">
        <f>T29/$U$28</f>
        <v>0.34275899559388845</v>
      </c>
      <c r="W29" s="195">
        <f>V29*$D$28</f>
        <v>4.1816597462454391E-2</v>
      </c>
      <c r="X29" s="196">
        <f t="shared" si="8"/>
        <v>0.1214892430634933</v>
      </c>
      <c r="Y29" s="194"/>
      <c r="Z29" s="194"/>
      <c r="AA29" s="189"/>
      <c r="AB29" s="197"/>
      <c r="AC29" s="189"/>
      <c r="AD29" s="189">
        <f t="shared" si="6"/>
        <v>6.3071019047169483E-2</v>
      </c>
      <c r="AE29" s="189"/>
      <c r="AF29" s="201"/>
    </row>
    <row r="30" spans="2:36" x14ac:dyDescent="0.2">
      <c r="B30" s="276" t="s">
        <v>401</v>
      </c>
      <c r="C30" s="189"/>
      <c r="D30" s="189"/>
      <c r="E30" s="345">
        <v>0.21587301587301588</v>
      </c>
      <c r="F30" s="191">
        <f t="shared" si="0"/>
        <v>8.1391808160763968E-2</v>
      </c>
      <c r="G30" s="189" t="s">
        <v>43</v>
      </c>
      <c r="H30" s="189" t="s">
        <v>208</v>
      </c>
      <c r="I30" s="189" t="s">
        <v>41</v>
      </c>
      <c r="J30" s="189" t="s">
        <v>99</v>
      </c>
      <c r="K30" s="189">
        <v>9</v>
      </c>
      <c r="L30" s="189">
        <v>11</v>
      </c>
      <c r="M30" s="189">
        <v>2</v>
      </c>
      <c r="N30" s="189">
        <v>15</v>
      </c>
      <c r="O30" s="189">
        <v>3</v>
      </c>
      <c r="P30" s="192">
        <v>0</v>
      </c>
      <c r="Q30" s="192">
        <f t="shared" si="1"/>
        <v>480.10800000000006</v>
      </c>
      <c r="R30" s="193" t="s">
        <v>47</v>
      </c>
      <c r="S30" s="194">
        <f>Q30-$Q$108</f>
        <v>305.15900000000005</v>
      </c>
      <c r="T30" s="194">
        <f t="shared" si="3"/>
        <v>65.875593650793661</v>
      </c>
      <c r="U30" s="192"/>
      <c r="V30" s="189">
        <f>T30/$U$28</f>
        <v>0.20358559661090636</v>
      </c>
      <c r="W30" s="195">
        <f>V30*$D$28</f>
        <v>2.4837442786530575E-2</v>
      </c>
      <c r="X30" s="196">
        <f t="shared" si="8"/>
        <v>8.1391808160763968E-2</v>
      </c>
      <c r="Y30" s="194"/>
      <c r="Z30" s="194"/>
      <c r="AA30" s="189"/>
      <c r="AB30" s="197"/>
      <c r="AC30" s="189"/>
      <c r="AD30" s="189">
        <f t="shared" si="6"/>
        <v>3.9076858232448074E-2</v>
      </c>
      <c r="AE30" s="189"/>
      <c r="AF30" s="201"/>
    </row>
    <row r="31" spans="2:36" x14ac:dyDescent="0.2">
      <c r="B31" s="276" t="s">
        <v>401</v>
      </c>
      <c r="C31" s="189"/>
      <c r="D31" s="189"/>
      <c r="E31" s="345">
        <v>0.26190476190476192</v>
      </c>
      <c r="F31" s="191">
        <f t="shared" si="0"/>
        <v>9.8747414312691587E-2</v>
      </c>
      <c r="G31" s="189" t="s">
        <v>167</v>
      </c>
      <c r="H31" s="189" t="s">
        <v>208</v>
      </c>
      <c r="I31" s="189" t="s">
        <v>41</v>
      </c>
      <c r="J31" s="189" t="s">
        <v>68</v>
      </c>
      <c r="K31" s="189">
        <v>10</v>
      </c>
      <c r="L31" s="189">
        <v>12</v>
      </c>
      <c r="M31" s="189">
        <v>5</v>
      </c>
      <c r="N31" s="189">
        <v>13</v>
      </c>
      <c r="O31" s="189">
        <v>3</v>
      </c>
      <c r="P31" s="192">
        <v>0</v>
      </c>
      <c r="Q31" s="192">
        <f t="shared" si="1"/>
        <v>503.15</v>
      </c>
      <c r="R31" s="193" t="s">
        <v>47</v>
      </c>
      <c r="S31" s="194">
        <f>Q31-$Q$108</f>
        <v>328.20099999999996</v>
      </c>
      <c r="T31" s="194">
        <f t="shared" si="3"/>
        <v>85.957404761904755</v>
      </c>
      <c r="U31" s="192"/>
      <c r="V31" s="189">
        <f>T31/$U$28</f>
        <v>0.26564754200688268</v>
      </c>
      <c r="W31" s="195">
        <f>V31*$D$28</f>
        <v>3.2409000124839688E-2</v>
      </c>
      <c r="X31" s="196">
        <f t="shared" si="8"/>
        <v>9.8747414312691587E-2</v>
      </c>
      <c r="Y31" s="194"/>
      <c r="Z31" s="199">
        <f>SUM(X28:X31)</f>
        <v>0.37703558192118608</v>
      </c>
      <c r="AA31" s="189" t="s">
        <v>41</v>
      </c>
      <c r="AB31" s="200">
        <f>SUM(W28:W31)</f>
        <v>0.12200000000000001</v>
      </c>
      <c r="AC31" s="189"/>
      <c r="AD31" s="189">
        <f t="shared" si="6"/>
        <v>4.9684761511430774E-2</v>
      </c>
      <c r="AE31" s="189">
        <f>SUM(AD28:AD31)</f>
        <v>0.1879619980215296</v>
      </c>
      <c r="AF31" s="201">
        <f>AE31-AD108</f>
        <v>0.12200000000000003</v>
      </c>
      <c r="AG31" s="30"/>
    </row>
    <row r="32" spans="2:36" x14ac:dyDescent="0.2">
      <c r="B32" s="277" t="s">
        <v>406</v>
      </c>
      <c r="C32" s="227" t="s">
        <v>23</v>
      </c>
      <c r="D32" s="374">
        <v>0.03</v>
      </c>
      <c r="E32" s="340">
        <v>1</v>
      </c>
      <c r="F32" s="228">
        <f>X32</f>
        <v>0.18502414565100742</v>
      </c>
      <c r="G32" s="227" t="s">
        <v>23</v>
      </c>
      <c r="H32" s="227" t="s">
        <v>208</v>
      </c>
      <c r="I32" s="227" t="s">
        <v>24</v>
      </c>
      <c r="J32" s="227" t="s">
        <v>55</v>
      </c>
      <c r="K32" s="227">
        <v>6</v>
      </c>
      <c r="L32" s="227">
        <v>10</v>
      </c>
      <c r="M32" s="227">
        <v>0</v>
      </c>
      <c r="N32" s="236">
        <v>5</v>
      </c>
      <c r="O32" s="236">
        <v>0</v>
      </c>
      <c r="P32" s="236">
        <v>0</v>
      </c>
      <c r="Q32" s="236">
        <f>(K32*12.011)+(L32*1.008)+(N32*15.999)+(14.007*M32)+(O32*30.974)+(P32*32.066)</f>
        <v>162.14100000000002</v>
      </c>
      <c r="R32" s="237" t="s">
        <v>135</v>
      </c>
      <c r="S32" s="236">
        <f t="shared" ref="S32:S37" si="9">Q32</f>
        <v>162.14100000000002</v>
      </c>
      <c r="T32" s="236">
        <f t="shared" si="3"/>
        <v>162.14100000000002</v>
      </c>
      <c r="U32" s="236">
        <f>T32</f>
        <v>162.14100000000002</v>
      </c>
      <c r="V32" s="236">
        <f>T32/$U$32</f>
        <v>1</v>
      </c>
      <c r="W32" s="230">
        <f>V32*$D$32</f>
        <v>0.03</v>
      </c>
      <c r="X32" s="231">
        <f>W32/S32*1000</f>
        <v>0.18502414565100742</v>
      </c>
      <c r="Y32" s="238"/>
      <c r="Z32" s="238">
        <f>X32</f>
        <v>0.18502414565100742</v>
      </c>
      <c r="AA32" s="238" t="s">
        <v>23</v>
      </c>
      <c r="AB32" s="265">
        <f>SUM(W32)</f>
        <v>0.03</v>
      </c>
      <c r="AC32" s="227"/>
      <c r="AD32" s="227">
        <f t="shared" si="6"/>
        <v>2.9999999999999995E-2</v>
      </c>
      <c r="AE32" s="227"/>
      <c r="AF32" s="233">
        <f>AD32</f>
        <v>2.9999999999999995E-2</v>
      </c>
      <c r="AG32" s="30"/>
    </row>
    <row r="33" spans="1:32" x14ac:dyDescent="0.2">
      <c r="B33" s="278" t="s">
        <v>402</v>
      </c>
      <c r="C33" s="203" t="s">
        <v>49</v>
      </c>
      <c r="D33" s="341">
        <v>0.03</v>
      </c>
      <c r="E33" s="346">
        <f>murein!G7</f>
        <v>0.4</v>
      </c>
      <c r="F33" s="204">
        <f t="shared" si="0"/>
        <v>6.4569729023904055E-3</v>
      </c>
      <c r="G33" s="205" t="s">
        <v>127</v>
      </c>
      <c r="H33" s="205" t="s">
        <v>209</v>
      </c>
      <c r="I33" s="205" t="s">
        <v>49</v>
      </c>
      <c r="J33" s="203" t="s">
        <v>142</v>
      </c>
      <c r="K33" s="203">
        <v>74</v>
      </c>
      <c r="L33" s="203">
        <v>114</v>
      </c>
      <c r="M33" s="203">
        <v>14</v>
      </c>
      <c r="N33" s="206">
        <v>40</v>
      </c>
      <c r="O33" s="206">
        <v>0</v>
      </c>
      <c r="P33" s="206">
        <v>0</v>
      </c>
      <c r="Q33" s="206">
        <f t="shared" si="1"/>
        <v>1839.7840000000001</v>
      </c>
      <c r="R33" s="207" t="s">
        <v>135</v>
      </c>
      <c r="S33" s="206">
        <f t="shared" si="9"/>
        <v>1839.7840000000001</v>
      </c>
      <c r="T33" s="206">
        <f t="shared" si="3"/>
        <v>735.91360000000009</v>
      </c>
      <c r="U33" s="203">
        <f>SUM(T33:T37)</f>
        <v>1858.455995</v>
      </c>
      <c r="V33" s="206">
        <f>T33/$U$33</f>
        <v>0.39598118114171438</v>
      </c>
      <c r="W33" s="208">
        <f>V33*$D$33</f>
        <v>1.1879435434251431E-2</v>
      </c>
      <c r="X33" s="209">
        <f t="shared" si="8"/>
        <v>6.4569729023904055E-3</v>
      </c>
      <c r="Y33" s="205"/>
      <c r="Z33" s="266"/>
      <c r="AA33" s="203"/>
      <c r="AB33" s="267"/>
      <c r="AC33" s="203"/>
      <c r="AD33" s="203">
        <f t="shared" si="6"/>
        <v>1.1879435434251431E-2</v>
      </c>
      <c r="AE33" s="203"/>
      <c r="AF33" s="212"/>
    </row>
    <row r="34" spans="1:32" x14ac:dyDescent="0.2">
      <c r="B34" s="278" t="s">
        <v>402</v>
      </c>
      <c r="C34" s="282" t="s">
        <v>413</v>
      </c>
      <c r="D34" s="203"/>
      <c r="E34" s="346">
        <f>murein!G8</f>
        <v>0.1</v>
      </c>
      <c r="F34" s="204">
        <f t="shared" si="0"/>
        <v>1.6142432255976018E-3</v>
      </c>
      <c r="G34" s="205" t="s">
        <v>128</v>
      </c>
      <c r="H34" s="205" t="s">
        <v>209</v>
      </c>
      <c r="I34" s="205" t="s">
        <v>49</v>
      </c>
      <c r="J34" s="203" t="s">
        <v>143</v>
      </c>
      <c r="K34" s="203">
        <v>68</v>
      </c>
      <c r="L34" s="203">
        <v>104</v>
      </c>
      <c r="M34" s="203">
        <v>12</v>
      </c>
      <c r="N34" s="206">
        <v>38</v>
      </c>
      <c r="O34" s="206">
        <v>0</v>
      </c>
      <c r="P34" s="206">
        <v>0</v>
      </c>
      <c r="Q34" s="206">
        <f t="shared" si="1"/>
        <v>1697.626</v>
      </c>
      <c r="R34" s="207" t="s">
        <v>135</v>
      </c>
      <c r="S34" s="206">
        <f t="shared" si="9"/>
        <v>1697.626</v>
      </c>
      <c r="T34" s="206">
        <f t="shared" si="3"/>
        <v>169.76260000000002</v>
      </c>
      <c r="U34" s="206"/>
      <c r="V34" s="206">
        <f>T34/$U$33</f>
        <v>9.134604233661181E-2</v>
      </c>
      <c r="W34" s="208">
        <f>V34*$D$33</f>
        <v>2.7403812700983543E-3</v>
      </c>
      <c r="X34" s="209">
        <f t="shared" si="8"/>
        <v>1.6142432255976018E-3</v>
      </c>
      <c r="Y34" s="205"/>
      <c r="Z34" s="266"/>
      <c r="AA34" s="203"/>
      <c r="AB34" s="267"/>
      <c r="AC34" s="203"/>
      <c r="AD34" s="203">
        <f t="shared" si="6"/>
        <v>2.7403812700983543E-3</v>
      </c>
      <c r="AE34" s="203"/>
      <c r="AF34" s="212"/>
    </row>
    <row r="35" spans="1:32" x14ac:dyDescent="0.2">
      <c r="B35" s="278" t="s">
        <v>402</v>
      </c>
      <c r="C35" s="282" t="s">
        <v>413</v>
      </c>
      <c r="D35" s="203"/>
      <c r="E35" s="346">
        <f>murein!G9</f>
        <v>0.40500000000000003</v>
      </c>
      <c r="F35" s="204">
        <f t="shared" si="0"/>
        <v>6.5376850636702866E-3</v>
      </c>
      <c r="G35" s="205" t="s">
        <v>137</v>
      </c>
      <c r="H35" s="205" t="s">
        <v>209</v>
      </c>
      <c r="I35" s="205" t="s">
        <v>49</v>
      </c>
      <c r="J35" s="203" t="s">
        <v>144</v>
      </c>
      <c r="K35" s="203">
        <v>74</v>
      </c>
      <c r="L35" s="203">
        <v>112</v>
      </c>
      <c r="M35" s="203">
        <v>14</v>
      </c>
      <c r="N35" s="206">
        <v>39</v>
      </c>
      <c r="O35" s="206">
        <v>0</v>
      </c>
      <c r="P35" s="206">
        <v>0</v>
      </c>
      <c r="Q35" s="206">
        <f t="shared" si="1"/>
        <v>1821.7689999999998</v>
      </c>
      <c r="R35" s="207" t="s">
        <v>135</v>
      </c>
      <c r="S35" s="206">
        <f t="shared" si="9"/>
        <v>1821.7689999999998</v>
      </c>
      <c r="T35" s="206">
        <f t="shared" si="3"/>
        <v>737.81644499999993</v>
      </c>
      <c r="U35" s="206"/>
      <c r="V35" s="206">
        <f>T35/$U$33</f>
        <v>0.39700506602525176</v>
      </c>
      <c r="W35" s="208">
        <f>V35*$D$33</f>
        <v>1.1910151980757552E-2</v>
      </c>
      <c r="X35" s="209">
        <f t="shared" si="8"/>
        <v>6.5376850636702866E-3</v>
      </c>
      <c r="Y35" s="205"/>
      <c r="Z35" s="266"/>
      <c r="AA35" s="203"/>
      <c r="AB35" s="267"/>
      <c r="AC35" s="203"/>
      <c r="AD35" s="203">
        <f t="shared" si="6"/>
        <v>1.1910151980757552E-2</v>
      </c>
      <c r="AE35" s="203"/>
      <c r="AF35" s="212"/>
    </row>
    <row r="36" spans="1:32" x14ac:dyDescent="0.2">
      <c r="B36" s="278" t="s">
        <v>402</v>
      </c>
      <c r="C36" s="282" t="s">
        <v>413</v>
      </c>
      <c r="D36" s="203"/>
      <c r="E36" s="346">
        <f>murein!G10</f>
        <v>4.5000000000000005E-2</v>
      </c>
      <c r="F36" s="204">
        <f t="shared" ref="F36:F51" si="10">X36</f>
        <v>7.2640945151892069E-4</v>
      </c>
      <c r="G36" s="205" t="s">
        <v>141</v>
      </c>
      <c r="H36" s="205" t="s">
        <v>209</v>
      </c>
      <c r="I36" s="205" t="s">
        <v>49</v>
      </c>
      <c r="J36" s="203" t="s">
        <v>145</v>
      </c>
      <c r="K36" s="203">
        <v>71</v>
      </c>
      <c r="L36" s="203">
        <v>107</v>
      </c>
      <c r="M36" s="203">
        <v>13</v>
      </c>
      <c r="N36" s="206">
        <v>38</v>
      </c>
      <c r="O36" s="206">
        <v>0</v>
      </c>
      <c r="P36" s="206">
        <v>0</v>
      </c>
      <c r="Q36" s="206">
        <f t="shared" si="1"/>
        <v>1750.69</v>
      </c>
      <c r="R36" s="207" t="s">
        <v>135</v>
      </c>
      <c r="S36" s="206">
        <f t="shared" si="9"/>
        <v>1750.69</v>
      </c>
      <c r="T36" s="206">
        <f t="shared" ref="T36:T67" si="11">E36*S36</f>
        <v>78.781050000000008</v>
      </c>
      <c r="U36" s="206"/>
      <c r="V36" s="206">
        <f>T36/$U$33</f>
        <v>4.2390592089321978E-2</v>
      </c>
      <c r="W36" s="208">
        <f>V36*$D$33</f>
        <v>1.2717177626796593E-3</v>
      </c>
      <c r="X36" s="209">
        <f t="shared" si="8"/>
        <v>7.2640945151892069E-4</v>
      </c>
      <c r="Y36" s="205"/>
      <c r="Z36" s="266"/>
      <c r="AA36" s="203"/>
      <c r="AB36" s="267"/>
      <c r="AC36" s="203"/>
      <c r="AD36" s="203">
        <f t="shared" ref="AD36:AD67" si="12">(F36*Q36)/1000</f>
        <v>1.2717177626796591E-3</v>
      </c>
      <c r="AE36" s="203"/>
      <c r="AF36" s="212"/>
    </row>
    <row r="37" spans="1:32" x14ac:dyDescent="0.2">
      <c r="A37" s="245"/>
      <c r="B37" s="316" t="s">
        <v>402</v>
      </c>
      <c r="C37" s="282" t="s">
        <v>413</v>
      </c>
      <c r="D37" s="203"/>
      <c r="E37" s="346">
        <f>murein!G11</f>
        <v>0.05</v>
      </c>
      <c r="F37" s="204">
        <f t="shared" si="10"/>
        <v>8.071216127988008E-4</v>
      </c>
      <c r="G37" s="205" t="s">
        <v>139</v>
      </c>
      <c r="H37" s="205" t="s">
        <v>209</v>
      </c>
      <c r="I37" s="205" t="s">
        <v>49</v>
      </c>
      <c r="J37" s="203" t="s">
        <v>146</v>
      </c>
      <c r="K37" s="203">
        <v>111</v>
      </c>
      <c r="L37" s="203">
        <v>167</v>
      </c>
      <c r="M37" s="203">
        <v>21</v>
      </c>
      <c r="N37" s="206">
        <v>58</v>
      </c>
      <c r="O37" s="206">
        <v>0</v>
      </c>
      <c r="P37" s="206">
        <v>0</v>
      </c>
      <c r="Q37" s="206">
        <f t="shared" si="1"/>
        <v>2723.6459999999997</v>
      </c>
      <c r="R37" s="207" t="s">
        <v>135</v>
      </c>
      <c r="S37" s="206">
        <f t="shared" si="9"/>
        <v>2723.6459999999997</v>
      </c>
      <c r="T37" s="206">
        <f t="shared" si="11"/>
        <v>136.1823</v>
      </c>
      <c r="U37" s="206"/>
      <c r="V37" s="206">
        <f>T37/$U$33</f>
        <v>7.3277118407100078E-2</v>
      </c>
      <c r="W37" s="208">
        <f>V37*$D$33</f>
        <v>2.1983135522130022E-3</v>
      </c>
      <c r="X37" s="209">
        <f t="shared" si="8"/>
        <v>8.071216127988008E-4</v>
      </c>
      <c r="Y37" s="205"/>
      <c r="Z37" s="210">
        <f>SUM(X33:X37)</f>
        <v>1.6142432255976016E-2</v>
      </c>
      <c r="AA37" s="203" t="s">
        <v>49</v>
      </c>
      <c r="AB37" s="211">
        <f>SUM(W33:W37)</f>
        <v>2.9999999999999995E-2</v>
      </c>
      <c r="AC37" s="203"/>
      <c r="AD37" s="203">
        <f t="shared" si="12"/>
        <v>2.1983135522130022E-3</v>
      </c>
      <c r="AE37" s="203"/>
      <c r="AF37" s="212">
        <f>SUM(AD33:AD37)</f>
        <v>2.9999999999999995E-2</v>
      </c>
    </row>
    <row r="38" spans="1:32" x14ac:dyDescent="0.2">
      <c r="A38" s="245"/>
      <c r="B38" s="317" t="s">
        <v>403</v>
      </c>
      <c r="C38" s="213" t="s">
        <v>106</v>
      </c>
      <c r="D38" s="337">
        <v>4.1000000000000002E-2</v>
      </c>
      <c r="E38" s="337">
        <v>1</v>
      </c>
      <c r="F38" s="214">
        <f t="shared" si="10"/>
        <v>1.3206678069505783E-2</v>
      </c>
      <c r="G38" s="337" t="s">
        <v>488</v>
      </c>
      <c r="H38" s="213" t="s">
        <v>210</v>
      </c>
      <c r="I38" s="213" t="s">
        <v>106</v>
      </c>
      <c r="J38" s="337" t="s">
        <v>518</v>
      </c>
      <c r="K38" s="337">
        <v>142</v>
      </c>
      <c r="L38" s="337">
        <v>253</v>
      </c>
      <c r="M38" s="337">
        <v>3</v>
      </c>
      <c r="N38" s="338">
        <v>65</v>
      </c>
      <c r="O38" s="338">
        <v>2</v>
      </c>
      <c r="P38" s="338">
        <v>0</v>
      </c>
      <c r="Q38" s="215">
        <f>(K38*12.011)+(L38*1.008)+(N38*15.999)+(14.007*M38)+(O38*30.974)+(P38*32.066)</f>
        <v>3104.49</v>
      </c>
      <c r="R38" s="216" t="s">
        <v>135</v>
      </c>
      <c r="S38" s="216">
        <f t="shared" ref="S38:S49" si="13">Q38</f>
        <v>3104.49</v>
      </c>
      <c r="T38" s="216">
        <f t="shared" si="11"/>
        <v>3104.49</v>
      </c>
      <c r="U38" s="216">
        <f>SUM(T38)</f>
        <v>3104.49</v>
      </c>
      <c r="V38" s="216">
        <f>T38/$U$38</f>
        <v>1</v>
      </c>
      <c r="W38" s="217">
        <f>V38*$D$38</f>
        <v>4.1000000000000002E-2</v>
      </c>
      <c r="X38" s="216">
        <f>W38/S38*1000</f>
        <v>1.3206678069505783E-2</v>
      </c>
      <c r="Y38" s="216"/>
      <c r="Z38" s="218">
        <f>SUM(X38)</f>
        <v>1.3206678069505783E-2</v>
      </c>
      <c r="AA38" s="216" t="s">
        <v>106</v>
      </c>
      <c r="AB38" s="218">
        <f>SUM(W38)</f>
        <v>4.1000000000000002E-2</v>
      </c>
      <c r="AC38" s="213"/>
      <c r="AD38" s="213">
        <f t="shared" si="12"/>
        <v>4.1000000000000009E-2</v>
      </c>
      <c r="AE38" s="213"/>
      <c r="AF38" s="219">
        <f>AD38</f>
        <v>4.1000000000000009E-2</v>
      </c>
    </row>
    <row r="39" spans="1:32" x14ac:dyDescent="0.2">
      <c r="A39" s="319"/>
      <c r="B39" s="366" t="s">
        <v>528</v>
      </c>
      <c r="C39" s="220" t="s">
        <v>39</v>
      </c>
      <c r="D39" s="342">
        <v>0.14899999999999999</v>
      </c>
      <c r="E39" s="367">
        <f>lipids!C15</f>
        <v>8.8852491000000006E-2</v>
      </c>
      <c r="F39" s="221">
        <f>X39</f>
        <v>1.8303032263677268E-2</v>
      </c>
      <c r="G39" s="342" t="s">
        <v>489</v>
      </c>
      <c r="H39" s="220" t="s">
        <v>211</v>
      </c>
      <c r="I39" s="220" t="s">
        <v>39</v>
      </c>
      <c r="J39" s="342" t="s">
        <v>529</v>
      </c>
      <c r="K39" s="342">
        <v>33</v>
      </c>
      <c r="L39" s="342">
        <v>66</v>
      </c>
      <c r="M39" s="342">
        <v>1</v>
      </c>
      <c r="N39" s="342">
        <v>8</v>
      </c>
      <c r="O39" s="342">
        <v>1</v>
      </c>
      <c r="P39" s="342">
        <v>0</v>
      </c>
      <c r="Q39" s="220">
        <f t="shared" ref="Q39:Q50" si="14">(K39*12.011)+(L39*1.008)+(N39*15.999)+(14.007*M39)+(O39*30.974)+(P39*32.066)</f>
        <v>635.86400000000003</v>
      </c>
      <c r="R39" s="222" t="s">
        <v>135</v>
      </c>
      <c r="S39" s="222">
        <f t="shared" si="13"/>
        <v>635.86400000000003</v>
      </c>
      <c r="T39" s="222">
        <f t="shared" si="11"/>
        <v>56.49810033722401</v>
      </c>
      <c r="U39" s="222">
        <f>SUM(T39:T50)</f>
        <v>723.32392623669807</v>
      </c>
      <c r="V39" s="222">
        <f t="shared" ref="V39:V50" si="15">T39/$U$39</f>
        <v>7.8108988639670363E-2</v>
      </c>
      <c r="W39" s="223">
        <f t="shared" ref="W39:W50" si="16">V39*$D$39</f>
        <v>1.1638239307310883E-2</v>
      </c>
      <c r="X39" s="224">
        <f t="shared" ref="X39:X50" si="17">W39/S39*1000</f>
        <v>1.8303032263677268E-2</v>
      </c>
      <c r="Y39" s="222"/>
      <c r="Z39" s="222"/>
      <c r="AA39" s="222"/>
      <c r="AB39" s="222"/>
      <c r="AC39" s="220"/>
      <c r="AD39" s="220">
        <f t="shared" si="12"/>
        <v>1.1638239307310883E-2</v>
      </c>
      <c r="AE39" s="220"/>
      <c r="AF39" s="225"/>
    </row>
    <row r="40" spans="1:32" x14ac:dyDescent="0.2">
      <c r="A40" s="319"/>
      <c r="B40" s="366" t="s">
        <v>528</v>
      </c>
      <c r="C40" s="281" t="s">
        <v>413</v>
      </c>
      <c r="D40" s="342"/>
      <c r="E40" s="367">
        <f>lipids!C16</f>
        <v>0.26816462400000002</v>
      </c>
      <c r="F40" s="221">
        <f t="shared" ref="F40:F50" si="18">X40</f>
        <v>5.5240159390116401E-2</v>
      </c>
      <c r="G40" s="220" t="s">
        <v>157</v>
      </c>
      <c r="H40" s="220" t="s">
        <v>211</v>
      </c>
      <c r="I40" s="220" t="s">
        <v>39</v>
      </c>
      <c r="J40" s="220" t="s">
        <v>527</v>
      </c>
      <c r="K40" s="220">
        <v>37</v>
      </c>
      <c r="L40" s="220">
        <v>74</v>
      </c>
      <c r="M40" s="220">
        <v>1</v>
      </c>
      <c r="N40" s="220">
        <v>8</v>
      </c>
      <c r="O40" s="220">
        <v>1</v>
      </c>
      <c r="P40" s="220">
        <v>0</v>
      </c>
      <c r="Q40" s="220">
        <f t="shared" si="14"/>
        <v>691.97199999999998</v>
      </c>
      <c r="R40" s="222" t="s">
        <v>135</v>
      </c>
      <c r="S40" s="222">
        <f t="shared" ref="S40" si="19">Q40</f>
        <v>691.97199999999998</v>
      </c>
      <c r="T40" s="222">
        <f t="shared" si="11"/>
        <v>185.562411198528</v>
      </c>
      <c r="U40" s="222"/>
      <c r="V40" s="222">
        <f t="shared" ref="V40" si="20">T40/$U$39</f>
        <v>0.25654123203689683</v>
      </c>
      <c r="W40" s="223">
        <f t="shared" ref="W40" si="21">V40*$D$39</f>
        <v>3.8224643573497627E-2</v>
      </c>
      <c r="X40" s="224">
        <f t="shared" ref="X40" si="22">W40/S40*1000</f>
        <v>5.5240159390116401E-2</v>
      </c>
      <c r="Y40" s="222"/>
      <c r="Z40" s="222"/>
      <c r="AA40" s="222"/>
      <c r="AB40" s="222"/>
      <c r="AC40" s="220"/>
      <c r="AD40" s="220">
        <f t="shared" si="12"/>
        <v>3.822464357349762E-2</v>
      </c>
      <c r="AE40" s="220"/>
      <c r="AF40" s="225"/>
    </row>
    <row r="41" spans="1:32" x14ac:dyDescent="0.2">
      <c r="A41" s="319"/>
      <c r="B41" s="366" t="s">
        <v>528</v>
      </c>
      <c r="C41" s="281" t="s">
        <v>413</v>
      </c>
      <c r="D41" s="273"/>
      <c r="E41" s="367">
        <f>lipids!C17</f>
        <v>0.39268056100000004</v>
      </c>
      <c r="F41" s="221">
        <f t="shared" si="18"/>
        <v>8.0889628376337674E-2</v>
      </c>
      <c r="G41" s="220" t="s">
        <v>158</v>
      </c>
      <c r="H41" s="220" t="s">
        <v>211</v>
      </c>
      <c r="I41" s="220" t="s">
        <v>39</v>
      </c>
      <c r="J41" s="220" t="s">
        <v>199</v>
      </c>
      <c r="K41" s="220">
        <v>37</v>
      </c>
      <c r="L41" s="220">
        <v>70</v>
      </c>
      <c r="M41" s="220">
        <v>1</v>
      </c>
      <c r="N41" s="220">
        <v>8</v>
      </c>
      <c r="O41" s="220">
        <v>1</v>
      </c>
      <c r="P41" s="220">
        <v>0</v>
      </c>
      <c r="Q41" s="220">
        <f t="shared" si="14"/>
        <v>687.93999999999994</v>
      </c>
      <c r="R41" s="222" t="s">
        <v>135</v>
      </c>
      <c r="S41" s="222">
        <f t="shared" si="13"/>
        <v>687.93999999999994</v>
      </c>
      <c r="T41" s="222">
        <f t="shared" si="11"/>
        <v>270.14066513434</v>
      </c>
      <c r="U41" s="222"/>
      <c r="V41" s="222">
        <f t="shared" si="15"/>
        <v>0.37347121439743453</v>
      </c>
      <c r="W41" s="223">
        <f t="shared" si="16"/>
        <v>5.564721094521774E-2</v>
      </c>
      <c r="X41" s="224">
        <f t="shared" si="17"/>
        <v>8.0889628376337674E-2</v>
      </c>
      <c r="Y41" s="222"/>
      <c r="Z41" s="222"/>
      <c r="AA41" s="222"/>
      <c r="AB41" s="222"/>
      <c r="AC41" s="220"/>
      <c r="AD41" s="220">
        <f t="shared" si="12"/>
        <v>5.5647210945217733E-2</v>
      </c>
      <c r="AE41" s="220"/>
      <c r="AF41" s="225"/>
    </row>
    <row r="42" spans="1:32" x14ac:dyDescent="0.2">
      <c r="A42" s="320"/>
      <c r="B42" s="366" t="s">
        <v>528</v>
      </c>
      <c r="C42" s="281" t="s">
        <v>413</v>
      </c>
      <c r="D42" s="220"/>
      <c r="E42" s="367">
        <f>lipids!C18</f>
        <v>1.5688855000000002E-2</v>
      </c>
      <c r="F42" s="221">
        <f t="shared" si="18"/>
        <v>3.2318015624925407E-3</v>
      </c>
      <c r="G42" s="220" t="s">
        <v>159</v>
      </c>
      <c r="H42" s="220" t="s">
        <v>211</v>
      </c>
      <c r="I42" s="220" t="s">
        <v>39</v>
      </c>
      <c r="J42" s="220" t="s">
        <v>200</v>
      </c>
      <c r="K42" s="220">
        <v>41</v>
      </c>
      <c r="L42" s="220">
        <v>78</v>
      </c>
      <c r="M42" s="220">
        <v>1</v>
      </c>
      <c r="N42" s="220">
        <v>8</v>
      </c>
      <c r="O42" s="220">
        <v>1</v>
      </c>
      <c r="P42" s="220">
        <v>0</v>
      </c>
      <c r="Q42" s="220">
        <f t="shared" si="14"/>
        <v>744.04799999999989</v>
      </c>
      <c r="R42" s="222" t="s">
        <v>135</v>
      </c>
      <c r="S42" s="222">
        <f t="shared" si="13"/>
        <v>744.04799999999989</v>
      </c>
      <c r="T42" s="222">
        <f t="shared" si="11"/>
        <v>11.673261185039999</v>
      </c>
      <c r="U42" s="222"/>
      <c r="V42" s="222">
        <f t="shared" si="15"/>
        <v>1.6138358986372146E-2</v>
      </c>
      <c r="W42" s="223">
        <f t="shared" si="16"/>
        <v>2.4046154889694497E-3</v>
      </c>
      <c r="X42" s="224">
        <f t="shared" si="17"/>
        <v>3.2318015624925407E-3</v>
      </c>
      <c r="Y42" s="222"/>
      <c r="Z42" s="222"/>
      <c r="AA42" s="222"/>
      <c r="AB42" s="222"/>
      <c r="AC42" s="220"/>
      <c r="AD42" s="220">
        <f t="shared" si="12"/>
        <v>2.4046154889694497E-3</v>
      </c>
      <c r="AE42" s="220"/>
      <c r="AF42" s="225"/>
    </row>
    <row r="43" spans="1:32" x14ac:dyDescent="0.2">
      <c r="A43" s="320"/>
      <c r="B43" s="366" t="s">
        <v>528</v>
      </c>
      <c r="C43" s="281" t="s">
        <v>413</v>
      </c>
      <c r="D43" s="220"/>
      <c r="E43" s="367">
        <f>lipids!D15</f>
        <v>2.1324086999999999E-2</v>
      </c>
      <c r="F43" s="221">
        <f t="shared" si="18"/>
        <v>4.392622513582212E-3</v>
      </c>
      <c r="G43" s="342" t="s">
        <v>490</v>
      </c>
      <c r="H43" s="220" t="s">
        <v>211</v>
      </c>
      <c r="I43" s="220" t="s">
        <v>39</v>
      </c>
      <c r="J43" s="342" t="s">
        <v>530</v>
      </c>
      <c r="K43" s="342">
        <v>34</v>
      </c>
      <c r="L43" s="342">
        <v>66</v>
      </c>
      <c r="M43" s="342">
        <v>0</v>
      </c>
      <c r="N43" s="342">
        <v>10</v>
      </c>
      <c r="O43" s="342">
        <v>1</v>
      </c>
      <c r="P43" s="342">
        <v>0</v>
      </c>
      <c r="Q43" s="220">
        <f t="shared" si="14"/>
        <v>665.8660000000001</v>
      </c>
      <c r="R43" s="222" t="s">
        <v>135</v>
      </c>
      <c r="S43" s="222">
        <f t="shared" ref="S43" si="23">Q43</f>
        <v>665.8660000000001</v>
      </c>
      <c r="T43" s="222">
        <f t="shared" si="11"/>
        <v>14.198984514342001</v>
      </c>
      <c r="U43" s="222"/>
      <c r="V43" s="222">
        <f t="shared" ref="V43" si="24">T43/$U$39</f>
        <v>1.9630187802878753E-2</v>
      </c>
      <c r="W43" s="223">
        <f t="shared" ref="W43" si="25">V43*$D$39</f>
        <v>2.924897982628934E-3</v>
      </c>
      <c r="X43" s="224">
        <f t="shared" ref="X43" si="26">W43/S43*1000</f>
        <v>4.392622513582212E-3</v>
      </c>
      <c r="Y43" s="222"/>
      <c r="Z43" s="222"/>
      <c r="AA43" s="222"/>
      <c r="AB43" s="222"/>
      <c r="AC43" s="220"/>
      <c r="AD43" s="220">
        <f t="shared" si="12"/>
        <v>2.9248979826289336E-3</v>
      </c>
      <c r="AE43" s="220"/>
      <c r="AF43" s="225"/>
    </row>
    <row r="44" spans="1:32" x14ac:dyDescent="0.2">
      <c r="A44" s="320"/>
      <c r="B44" s="366" t="s">
        <v>528</v>
      </c>
      <c r="C44" s="281" t="s">
        <v>413</v>
      </c>
      <c r="D44" s="220"/>
      <c r="E44" s="367">
        <f>lipids!D16</f>
        <v>6.4357968000000002E-2</v>
      </c>
      <c r="F44" s="221">
        <f t="shared" si="18"/>
        <v>1.3257320661147352E-2</v>
      </c>
      <c r="G44" s="220" t="s">
        <v>160</v>
      </c>
      <c r="H44" s="220" t="s">
        <v>211</v>
      </c>
      <c r="I44" s="220" t="s">
        <v>39</v>
      </c>
      <c r="J44" s="365" t="s">
        <v>201</v>
      </c>
      <c r="K44" s="220">
        <v>38</v>
      </c>
      <c r="L44" s="220">
        <v>74</v>
      </c>
      <c r="M44" s="220">
        <v>0</v>
      </c>
      <c r="N44" s="220">
        <v>10</v>
      </c>
      <c r="O44" s="220">
        <v>1</v>
      </c>
      <c r="P44" s="220">
        <v>0</v>
      </c>
      <c r="Q44" s="220">
        <f t="shared" si="14"/>
        <v>721.97400000000005</v>
      </c>
      <c r="R44" s="222" t="s">
        <v>135</v>
      </c>
      <c r="S44" s="222">
        <f t="shared" si="13"/>
        <v>721.97400000000005</v>
      </c>
      <c r="T44" s="222">
        <f t="shared" si="11"/>
        <v>46.464779588832002</v>
      </c>
      <c r="U44" s="222"/>
      <c r="V44" s="222">
        <f t="shared" si="15"/>
        <v>6.4237857899404019E-2</v>
      </c>
      <c r="W44" s="223">
        <f t="shared" si="16"/>
        <v>9.5714408270111979E-3</v>
      </c>
      <c r="X44" s="224">
        <f t="shared" si="17"/>
        <v>1.3257320661147352E-2</v>
      </c>
      <c r="Y44" s="222"/>
      <c r="Z44" s="222"/>
      <c r="AA44" s="222"/>
      <c r="AB44" s="222"/>
      <c r="AC44" s="220"/>
      <c r="AD44" s="220">
        <f t="shared" si="12"/>
        <v>9.5714408270111979E-3</v>
      </c>
      <c r="AE44" s="220"/>
      <c r="AF44" s="225"/>
    </row>
    <row r="45" spans="1:32" x14ac:dyDescent="0.2">
      <c r="A45" s="320"/>
      <c r="B45" s="366" t="s">
        <v>528</v>
      </c>
      <c r="C45" s="281" t="s">
        <v>413</v>
      </c>
      <c r="D45" s="220"/>
      <c r="E45" s="367">
        <f>lipids!D17</f>
        <v>9.4241077000000006E-2</v>
      </c>
      <c r="F45" s="221">
        <f t="shared" si="18"/>
        <v>1.9413045751240601E-2</v>
      </c>
      <c r="G45" s="220" t="s">
        <v>161</v>
      </c>
      <c r="H45" s="220" t="s">
        <v>211</v>
      </c>
      <c r="I45" s="220" t="s">
        <v>39</v>
      </c>
      <c r="J45" s="220" t="s">
        <v>202</v>
      </c>
      <c r="K45" s="220">
        <v>38</v>
      </c>
      <c r="L45" s="220">
        <v>70</v>
      </c>
      <c r="M45" s="220">
        <v>0</v>
      </c>
      <c r="N45" s="220">
        <v>10</v>
      </c>
      <c r="O45" s="220">
        <v>1</v>
      </c>
      <c r="P45" s="220">
        <v>0</v>
      </c>
      <c r="Q45" s="220">
        <f t="shared" si="14"/>
        <v>717.94200000000001</v>
      </c>
      <c r="R45" s="222" t="s">
        <v>135</v>
      </c>
      <c r="S45" s="222">
        <f t="shared" si="13"/>
        <v>717.94200000000001</v>
      </c>
      <c r="T45" s="222">
        <f t="shared" si="11"/>
        <v>67.659627303534009</v>
      </c>
      <c r="U45" s="222"/>
      <c r="V45" s="222">
        <f t="shared" si="15"/>
        <v>9.3539871763336779E-2</v>
      </c>
      <c r="W45" s="223">
        <f t="shared" si="16"/>
        <v>1.393744089273718E-2</v>
      </c>
      <c r="X45" s="224">
        <f t="shared" si="17"/>
        <v>1.9413045751240601E-2</v>
      </c>
      <c r="Y45" s="222"/>
      <c r="Z45" s="222"/>
      <c r="AA45" s="222"/>
      <c r="AB45" s="222"/>
      <c r="AC45" s="220"/>
      <c r="AD45" s="220">
        <f t="shared" si="12"/>
        <v>1.393744089273718E-2</v>
      </c>
      <c r="AE45" s="220"/>
      <c r="AF45" s="225"/>
    </row>
    <row r="46" spans="1:32" x14ac:dyDescent="0.2">
      <c r="A46" s="319"/>
      <c r="B46" s="366" t="s">
        <v>528</v>
      </c>
      <c r="C46" s="281" t="s">
        <v>413</v>
      </c>
      <c r="D46" s="220"/>
      <c r="E46" s="367">
        <f>lipids!D18</f>
        <v>3.765235E-3</v>
      </c>
      <c r="F46" s="221">
        <f t="shared" si="18"/>
        <v>7.7561379438790157E-4</v>
      </c>
      <c r="G46" s="220" t="s">
        <v>162</v>
      </c>
      <c r="H46" s="220" t="s">
        <v>211</v>
      </c>
      <c r="I46" s="220" t="s">
        <v>39</v>
      </c>
      <c r="J46" s="220" t="s">
        <v>203</v>
      </c>
      <c r="K46" s="220">
        <v>42</v>
      </c>
      <c r="L46" s="220">
        <v>78</v>
      </c>
      <c r="M46" s="220">
        <v>0</v>
      </c>
      <c r="N46" s="220">
        <v>10</v>
      </c>
      <c r="O46" s="220">
        <v>1</v>
      </c>
      <c r="P46" s="220">
        <v>0</v>
      </c>
      <c r="Q46" s="220">
        <f t="shared" si="14"/>
        <v>774.05000000000007</v>
      </c>
      <c r="R46" s="222" t="s">
        <v>135</v>
      </c>
      <c r="S46" s="222">
        <f t="shared" si="13"/>
        <v>774.05000000000007</v>
      </c>
      <c r="T46" s="222">
        <f t="shared" si="11"/>
        <v>2.9144801517500003</v>
      </c>
      <c r="U46" s="222"/>
      <c r="V46" s="222">
        <f t="shared" si="15"/>
        <v>4.0292876345366128E-3</v>
      </c>
      <c r="W46" s="223">
        <f t="shared" si="16"/>
        <v>6.0036385754595528E-4</v>
      </c>
      <c r="X46" s="224">
        <f t="shared" si="17"/>
        <v>7.7561379438790157E-4</v>
      </c>
      <c r="Y46" s="222"/>
      <c r="Z46" s="222"/>
      <c r="AA46" s="222"/>
      <c r="AB46" s="222"/>
      <c r="AC46" s="220"/>
      <c r="AD46" s="220">
        <f t="shared" si="12"/>
        <v>6.0036385754595528E-4</v>
      </c>
      <c r="AE46" s="220"/>
      <c r="AF46" s="225"/>
    </row>
    <row r="47" spans="1:32" x14ac:dyDescent="0.2">
      <c r="A47" s="319"/>
      <c r="B47" s="366" t="s">
        <v>528</v>
      </c>
      <c r="C47" s="281" t="s">
        <v>413</v>
      </c>
      <c r="D47" s="220"/>
      <c r="E47" s="367">
        <f>lipids!E15</f>
        <v>5.9234220000000002E-3</v>
      </c>
      <c r="F47" s="221">
        <f t="shared" si="18"/>
        <v>1.2201862070178281E-3</v>
      </c>
      <c r="G47" s="342" t="s">
        <v>487</v>
      </c>
      <c r="H47" s="220" t="s">
        <v>209</v>
      </c>
      <c r="I47" s="220" t="s">
        <v>39</v>
      </c>
      <c r="J47" s="342" t="s">
        <v>531</v>
      </c>
      <c r="K47" s="342">
        <v>65</v>
      </c>
      <c r="L47" s="342">
        <v>124</v>
      </c>
      <c r="M47" s="342">
        <v>0</v>
      </c>
      <c r="N47" s="342">
        <v>17</v>
      </c>
      <c r="O47" s="342">
        <v>2</v>
      </c>
      <c r="P47" s="342">
        <v>0</v>
      </c>
      <c r="Q47" s="220">
        <f t="shared" si="14"/>
        <v>1239.6379999999999</v>
      </c>
      <c r="R47" s="222" t="s">
        <v>135</v>
      </c>
      <c r="S47" s="222">
        <f t="shared" ref="S47" si="27">Q47</f>
        <v>1239.6379999999999</v>
      </c>
      <c r="T47" s="222">
        <f t="shared" si="11"/>
        <v>7.3428990012359998</v>
      </c>
      <c r="U47" s="222"/>
      <c r="V47" s="222">
        <f t="shared" ref="V47" si="28">T47/$U$39</f>
        <v>1.0151605297282996E-2</v>
      </c>
      <c r="W47" s="223">
        <f t="shared" ref="W47" si="29">V47*$D$39</f>
        <v>1.5125891892951663E-3</v>
      </c>
      <c r="X47" s="224">
        <f t="shared" ref="X47" si="30">W47/S47*1000</f>
        <v>1.2201862070178281E-3</v>
      </c>
      <c r="Y47" s="222"/>
      <c r="Z47" s="222"/>
      <c r="AA47" s="222"/>
      <c r="AB47" s="222"/>
      <c r="AC47" s="220"/>
      <c r="AD47" s="220">
        <f t="shared" si="12"/>
        <v>1.5125891892951661E-3</v>
      </c>
      <c r="AE47" s="220"/>
      <c r="AF47" s="225"/>
    </row>
    <row r="48" spans="1:32" x14ac:dyDescent="0.2">
      <c r="A48" s="245"/>
      <c r="B48" s="366" t="s">
        <v>528</v>
      </c>
      <c r="C48" s="281" t="s">
        <v>413</v>
      </c>
      <c r="D48" s="220"/>
      <c r="E48" s="367">
        <f>lipids!E16</f>
        <v>1.7877408000000001E-2</v>
      </c>
      <c r="F48" s="221">
        <f t="shared" si="18"/>
        <v>3.6826291726016112E-3</v>
      </c>
      <c r="G48" s="220" t="s">
        <v>163</v>
      </c>
      <c r="H48" s="220" t="s">
        <v>209</v>
      </c>
      <c r="I48" s="220" t="s">
        <v>39</v>
      </c>
      <c r="J48" s="220" t="s">
        <v>204</v>
      </c>
      <c r="K48" s="220">
        <v>73</v>
      </c>
      <c r="L48" s="220">
        <v>140</v>
      </c>
      <c r="M48" s="220">
        <v>0</v>
      </c>
      <c r="N48" s="220">
        <v>17</v>
      </c>
      <c r="O48" s="220">
        <v>2</v>
      </c>
      <c r="P48" s="220">
        <v>0</v>
      </c>
      <c r="Q48" s="220">
        <f t="shared" si="14"/>
        <v>1351.854</v>
      </c>
      <c r="R48" s="222" t="s">
        <v>135</v>
      </c>
      <c r="S48" s="222">
        <f t="shared" si="13"/>
        <v>1351.854</v>
      </c>
      <c r="T48" s="222">
        <f t="shared" si="11"/>
        <v>24.167645514432003</v>
      </c>
      <c r="U48" s="222"/>
      <c r="V48" s="222">
        <f t="shared" si="15"/>
        <v>3.3411926023477707E-2</v>
      </c>
      <c r="W48" s="223">
        <f t="shared" si="16"/>
        <v>4.9783769774981784E-3</v>
      </c>
      <c r="X48" s="224">
        <f t="shared" si="17"/>
        <v>3.6826291726016112E-3</v>
      </c>
      <c r="Y48" s="222"/>
      <c r="Z48" s="222"/>
      <c r="AA48" s="222"/>
      <c r="AB48" s="222"/>
      <c r="AC48" s="220"/>
      <c r="AD48" s="220">
        <f t="shared" si="12"/>
        <v>4.9783769774981784E-3</v>
      </c>
      <c r="AE48" s="220"/>
      <c r="AF48" s="225"/>
    </row>
    <row r="49" spans="1:32" x14ac:dyDescent="0.2">
      <c r="A49" s="320"/>
      <c r="B49" s="366" t="s">
        <v>528</v>
      </c>
      <c r="C49" s="281" t="s">
        <v>413</v>
      </c>
      <c r="D49" s="220"/>
      <c r="E49" s="367">
        <f>lipids!E17</f>
        <v>2.6178362E-2</v>
      </c>
      <c r="F49" s="221">
        <f t="shared" si="18"/>
        <v>5.3925714282588083E-3</v>
      </c>
      <c r="G49" s="220" t="s">
        <v>164</v>
      </c>
      <c r="H49" s="220" t="s">
        <v>209</v>
      </c>
      <c r="I49" s="220" t="s">
        <v>39</v>
      </c>
      <c r="J49" s="220" t="s">
        <v>205</v>
      </c>
      <c r="K49" s="220">
        <v>73</v>
      </c>
      <c r="L49" s="220">
        <v>132</v>
      </c>
      <c r="M49" s="220">
        <v>0</v>
      </c>
      <c r="N49" s="220">
        <v>17</v>
      </c>
      <c r="O49" s="220">
        <v>2</v>
      </c>
      <c r="P49" s="220">
        <v>0</v>
      </c>
      <c r="Q49" s="220">
        <f t="shared" si="14"/>
        <v>1343.7900000000002</v>
      </c>
      <c r="R49" s="222" t="s">
        <v>135</v>
      </c>
      <c r="S49" s="222">
        <f t="shared" si="13"/>
        <v>1343.7900000000002</v>
      </c>
      <c r="T49" s="222">
        <f t="shared" si="11"/>
        <v>35.178221071980005</v>
      </c>
      <c r="U49" s="222"/>
      <c r="V49" s="222">
        <f t="shared" si="15"/>
        <v>4.8634117849529569E-2</v>
      </c>
      <c r="W49" s="223">
        <f t="shared" si="16"/>
        <v>7.2464835595799056E-3</v>
      </c>
      <c r="X49" s="224">
        <f t="shared" si="17"/>
        <v>5.3925714282588083E-3</v>
      </c>
      <c r="Y49" s="222"/>
      <c r="Z49" s="222"/>
      <c r="AA49" s="222"/>
      <c r="AB49" s="222"/>
      <c r="AC49" s="220"/>
      <c r="AD49" s="220">
        <f t="shared" si="12"/>
        <v>7.2464835595799047E-3</v>
      </c>
      <c r="AE49" s="220"/>
      <c r="AF49" s="225"/>
    </row>
    <row r="50" spans="1:32" x14ac:dyDescent="0.2">
      <c r="A50" s="320"/>
      <c r="B50" s="366" t="s">
        <v>528</v>
      </c>
      <c r="C50" s="281" t="s">
        <v>413</v>
      </c>
      <c r="D50" s="220"/>
      <c r="E50" s="367">
        <f>lipids!E18</f>
        <v>1.0459100000000002E-3</v>
      </c>
      <c r="F50" s="221">
        <f t="shared" si="18"/>
        <v>2.1545062225551665E-4</v>
      </c>
      <c r="G50" s="220" t="s">
        <v>165</v>
      </c>
      <c r="H50" s="220" t="s">
        <v>209</v>
      </c>
      <c r="I50" s="220" t="s">
        <v>39</v>
      </c>
      <c r="J50" s="220" t="s">
        <v>206</v>
      </c>
      <c r="K50" s="220">
        <v>81</v>
      </c>
      <c r="L50" s="220">
        <v>148</v>
      </c>
      <c r="M50" s="220">
        <v>0</v>
      </c>
      <c r="N50" s="220">
        <v>17</v>
      </c>
      <c r="O50" s="220">
        <v>2</v>
      </c>
      <c r="P50" s="220">
        <v>0</v>
      </c>
      <c r="Q50" s="220">
        <f t="shared" si="14"/>
        <v>1456.0060000000001</v>
      </c>
      <c r="R50" s="222" t="s">
        <v>135</v>
      </c>
      <c r="S50" s="222">
        <f>Q50</f>
        <v>1456.0060000000001</v>
      </c>
      <c r="T50" s="222">
        <f t="shared" si="11"/>
        <v>1.5228512354600003</v>
      </c>
      <c r="U50" s="222"/>
      <c r="V50" s="222">
        <f t="shared" si="15"/>
        <v>2.1053516691796363E-3</v>
      </c>
      <c r="W50" s="223">
        <f t="shared" si="16"/>
        <v>3.1369739870776579E-4</v>
      </c>
      <c r="X50" s="224">
        <f t="shared" si="17"/>
        <v>2.1545062225551665E-4</v>
      </c>
      <c r="Y50" s="222"/>
      <c r="Z50" s="226">
        <f>SUM(X39:X50)</f>
        <v>0.20601406174311571</v>
      </c>
      <c r="AA50" s="222" t="s">
        <v>39</v>
      </c>
      <c r="AB50" s="223">
        <f>SUM(W39:W50)</f>
        <v>0.14899999999999997</v>
      </c>
      <c r="AC50" s="220"/>
      <c r="AD50" s="220">
        <f t="shared" si="12"/>
        <v>3.1369739870776579E-4</v>
      </c>
      <c r="AE50" s="220"/>
      <c r="AF50" s="225">
        <f>SUM(AD39:AD50)</f>
        <v>0.14899999999999997</v>
      </c>
    </row>
    <row r="51" spans="1:32" x14ac:dyDescent="0.2">
      <c r="A51" s="320"/>
      <c r="B51" s="318" t="s">
        <v>407</v>
      </c>
      <c r="C51" s="227" t="s">
        <v>176</v>
      </c>
      <c r="D51" s="340">
        <v>0.01</v>
      </c>
      <c r="E51" s="347">
        <f>VLOOKUP(G51,ion!F:G,2,0)</f>
        <v>0.75848747484349888</v>
      </c>
      <c r="F51" s="228">
        <f t="shared" si="10"/>
        <v>0.18579161861764731</v>
      </c>
      <c r="G51" s="227" t="s">
        <v>175</v>
      </c>
      <c r="H51" s="227" t="s">
        <v>208</v>
      </c>
      <c r="I51" s="227" t="s">
        <v>176</v>
      </c>
      <c r="J51" s="227" t="s">
        <v>186</v>
      </c>
      <c r="K51" s="227"/>
      <c r="L51" s="227"/>
      <c r="M51" s="227"/>
      <c r="N51" s="227"/>
      <c r="O51" s="227"/>
      <c r="P51" s="227"/>
      <c r="Q51" s="227">
        <v>38.963700000000003</v>
      </c>
      <c r="R51" s="229" t="s">
        <v>135</v>
      </c>
      <c r="S51" s="229">
        <f>Q51</f>
        <v>38.963700000000003</v>
      </c>
      <c r="T51" s="229">
        <f t="shared" si="11"/>
        <v>29.553478423559639</v>
      </c>
      <c r="U51" s="229">
        <f>SUM(T51:T69)</f>
        <v>40.824633559194055</v>
      </c>
      <c r="V51" s="229">
        <f>T51/$U$51</f>
        <v>0.72391288903324258</v>
      </c>
      <c r="W51" s="230">
        <f>V51*$D$51</f>
        <v>7.2391288903324259E-3</v>
      </c>
      <c r="X51" s="231">
        <f>W51/S51*1000</f>
        <v>0.18579161861764731</v>
      </c>
      <c r="Y51" s="229"/>
      <c r="Z51" s="232"/>
      <c r="AA51" s="227"/>
      <c r="AB51" s="227"/>
      <c r="AC51" s="227"/>
      <c r="AD51" s="227">
        <f t="shared" si="12"/>
        <v>7.2391288903324259E-3</v>
      </c>
      <c r="AE51" s="227"/>
      <c r="AF51" s="233"/>
    </row>
    <row r="52" spans="1:32" x14ac:dyDescent="0.2">
      <c r="A52" s="245"/>
      <c r="B52" s="318" t="s">
        <v>407</v>
      </c>
      <c r="C52" s="280" t="s">
        <v>413</v>
      </c>
      <c r="D52" s="227"/>
      <c r="E52" s="347">
        <f>VLOOKUP(G52,ion!F:G,2,0)</f>
        <v>5.0565831656233254E-2</v>
      </c>
      <c r="F52" s="228">
        <f t="shared" ref="F52:F67" si="31">X52</f>
        <v>1.2386107907843155E-2</v>
      </c>
      <c r="G52" s="227" t="s">
        <v>177</v>
      </c>
      <c r="H52" s="227" t="s">
        <v>208</v>
      </c>
      <c r="I52" s="227" t="s">
        <v>176</v>
      </c>
      <c r="J52" s="227" t="s">
        <v>187</v>
      </c>
      <c r="K52" s="227">
        <v>0</v>
      </c>
      <c r="L52" s="227">
        <v>4</v>
      </c>
      <c r="M52" s="227">
        <v>1</v>
      </c>
      <c r="N52" s="227">
        <v>0</v>
      </c>
      <c r="O52" s="227">
        <v>0</v>
      </c>
      <c r="P52" s="227">
        <v>0</v>
      </c>
      <c r="Q52" s="227">
        <f>(K52*12.011)+(L52*1.008)+(N52*15.999)+(14.007*M52)+(O52*30.974)+(P52*32.066)</f>
        <v>18.039000000000001</v>
      </c>
      <c r="R52" s="229" t="s">
        <v>135</v>
      </c>
      <c r="S52" s="229">
        <f t="shared" ref="S52:S69" si="32">Q52</f>
        <v>18.039000000000001</v>
      </c>
      <c r="T52" s="229">
        <f t="shared" si="11"/>
        <v>0.91215703724679176</v>
      </c>
      <c r="U52" s="229"/>
      <c r="V52" s="229">
        <f t="shared" ref="V52:V65" si="33">T52/$U$51</f>
        <v>2.2343300054958271E-2</v>
      </c>
      <c r="W52" s="230">
        <f t="shared" ref="W52:W69" si="34">V52*$D$51</f>
        <v>2.2343300054958272E-4</v>
      </c>
      <c r="X52" s="231">
        <f t="shared" ref="X52:X65" si="35">W52/S52*1000</f>
        <v>1.2386107907843155E-2</v>
      </c>
      <c r="Y52" s="229"/>
      <c r="Z52" s="232"/>
      <c r="AA52" s="229"/>
      <c r="AB52" s="232"/>
      <c r="AC52" s="227"/>
      <c r="AD52" s="227">
        <f t="shared" si="12"/>
        <v>2.2343300054958272E-4</v>
      </c>
      <c r="AE52" s="227"/>
      <c r="AF52" s="233"/>
    </row>
    <row r="53" spans="1:32" x14ac:dyDescent="0.2">
      <c r="A53" s="245"/>
      <c r="B53" s="318" t="s">
        <v>407</v>
      </c>
      <c r="C53" s="280" t="s">
        <v>413</v>
      </c>
      <c r="D53" s="227"/>
      <c r="E53" s="347">
        <f>VLOOKUP(G53,ion!F:G,2,0)</f>
        <v>3.3710554437488834E-2</v>
      </c>
      <c r="F53" s="228">
        <f t="shared" si="31"/>
        <v>8.2574052718954374E-3</v>
      </c>
      <c r="G53" s="227" t="s">
        <v>179</v>
      </c>
      <c r="H53" s="227" t="s">
        <v>208</v>
      </c>
      <c r="I53" s="227" t="s">
        <v>176</v>
      </c>
      <c r="J53" s="227" t="s">
        <v>188</v>
      </c>
      <c r="K53" s="227"/>
      <c r="L53" s="227"/>
      <c r="M53" s="227"/>
      <c r="N53" s="227"/>
      <c r="O53" s="227"/>
      <c r="P53" s="227"/>
      <c r="Q53" s="227">
        <v>23.984999999999999</v>
      </c>
      <c r="R53" s="229" t="s">
        <v>135</v>
      </c>
      <c r="S53" s="229">
        <f t="shared" si="32"/>
        <v>23.984999999999999</v>
      </c>
      <c r="T53" s="229">
        <f t="shared" si="11"/>
        <v>0.80854764818316971</v>
      </c>
      <c r="U53" s="229"/>
      <c r="V53" s="229">
        <f t="shared" si="33"/>
        <v>1.9805386544641205E-2</v>
      </c>
      <c r="W53" s="230">
        <f t="shared" si="34"/>
        <v>1.9805386544641205E-4</v>
      </c>
      <c r="X53" s="231">
        <f t="shared" si="35"/>
        <v>8.2574052718954374E-3</v>
      </c>
      <c r="Y53" s="229"/>
      <c r="Z53" s="232"/>
      <c r="AA53" s="229"/>
      <c r="AB53" s="232"/>
      <c r="AC53" s="227"/>
      <c r="AD53" s="227">
        <f t="shared" si="12"/>
        <v>1.9805386544641208E-4</v>
      </c>
      <c r="AE53" s="227"/>
      <c r="AF53" s="233"/>
    </row>
    <row r="54" spans="1:32" x14ac:dyDescent="0.2">
      <c r="A54" s="245"/>
      <c r="B54" s="279" t="s">
        <v>407</v>
      </c>
      <c r="C54" s="280" t="s">
        <v>413</v>
      </c>
      <c r="D54" s="227"/>
      <c r="E54" s="347">
        <f>VLOOKUP(G54,ion!F:G,2,0)</f>
        <v>2.0226332662493303E-2</v>
      </c>
      <c r="F54" s="228">
        <f t="shared" si="31"/>
        <v>4.9544431631372617E-3</v>
      </c>
      <c r="G54" s="227" t="s">
        <v>178</v>
      </c>
      <c r="H54" s="227" t="s">
        <v>208</v>
      </c>
      <c r="I54" s="227" t="s">
        <v>176</v>
      </c>
      <c r="J54" s="227" t="s">
        <v>189</v>
      </c>
      <c r="K54" s="227"/>
      <c r="L54" s="227"/>
      <c r="M54" s="227"/>
      <c r="N54" s="227"/>
      <c r="O54" s="227"/>
      <c r="P54" s="227"/>
      <c r="Q54" s="227">
        <v>39.962600000000002</v>
      </c>
      <c r="R54" s="229" t="s">
        <v>135</v>
      </c>
      <c r="S54" s="229">
        <f t="shared" si="32"/>
        <v>39.962600000000002</v>
      </c>
      <c r="T54" s="229">
        <f t="shared" si="11"/>
        <v>0.80829684165815485</v>
      </c>
      <c r="U54" s="229"/>
      <c r="V54" s="229">
        <f t="shared" si="33"/>
        <v>1.9799243035118916E-2</v>
      </c>
      <c r="W54" s="230">
        <f t="shared" si="34"/>
        <v>1.9799243035118917E-4</v>
      </c>
      <c r="X54" s="231">
        <f t="shared" si="35"/>
        <v>4.9544431631372617E-3</v>
      </c>
      <c r="Y54" s="229"/>
      <c r="Z54" s="232"/>
      <c r="AA54" s="229"/>
      <c r="AB54" s="232"/>
      <c r="AC54" s="227"/>
      <c r="AD54" s="227">
        <f t="shared" si="12"/>
        <v>1.9799243035118917E-4</v>
      </c>
      <c r="AE54" s="227"/>
      <c r="AF54" s="233"/>
    </row>
    <row r="55" spans="1:32" x14ac:dyDescent="0.2">
      <c r="A55" s="245"/>
      <c r="B55" s="279" t="s">
        <v>407</v>
      </c>
      <c r="C55" s="280" t="s">
        <v>413</v>
      </c>
      <c r="D55" s="227"/>
      <c r="E55" s="347">
        <f>VLOOKUP(G55,ion!F:G,2,0)</f>
        <v>5.643146812835631E-2</v>
      </c>
      <c r="F55" s="228">
        <f t="shared" si="31"/>
        <v>1.3822896425152961E-2</v>
      </c>
      <c r="G55" s="227" t="s">
        <v>180</v>
      </c>
      <c r="H55" s="227" t="s">
        <v>208</v>
      </c>
      <c r="I55" s="227" t="s">
        <v>176</v>
      </c>
      <c r="J55" s="227" t="s">
        <v>190</v>
      </c>
      <c r="K55" s="227"/>
      <c r="L55" s="227"/>
      <c r="M55" s="227"/>
      <c r="N55" s="227"/>
      <c r="O55" s="227"/>
      <c r="P55" s="227"/>
      <c r="Q55" s="227">
        <v>55.934899999999999</v>
      </c>
      <c r="R55" s="229" t="s">
        <v>135</v>
      </c>
      <c r="S55" s="229">
        <f t="shared" si="32"/>
        <v>55.934899999999999</v>
      </c>
      <c r="T55" s="229">
        <f t="shared" si="11"/>
        <v>3.1564885266127973</v>
      </c>
      <c r="U55" s="229"/>
      <c r="V55" s="229">
        <f t="shared" si="33"/>
        <v>7.7318232925128835E-2</v>
      </c>
      <c r="W55" s="230">
        <f t="shared" si="34"/>
        <v>7.7318232925128842E-4</v>
      </c>
      <c r="X55" s="231">
        <f t="shared" si="35"/>
        <v>1.3822896425152961E-2</v>
      </c>
      <c r="Y55" s="229"/>
      <c r="Z55" s="232"/>
      <c r="AA55" s="229"/>
      <c r="AB55" s="232"/>
      <c r="AC55" s="227"/>
      <c r="AD55" s="227">
        <f t="shared" si="12"/>
        <v>7.7318232925128842E-4</v>
      </c>
      <c r="AE55" s="227"/>
      <c r="AF55" s="233"/>
    </row>
    <row r="56" spans="1:32" x14ac:dyDescent="0.2">
      <c r="A56" s="245"/>
      <c r="B56" s="279" t="s">
        <v>407</v>
      </c>
      <c r="C56" s="280" t="s">
        <v>413</v>
      </c>
      <c r="D56" s="227"/>
      <c r="E56" s="347">
        <f>VLOOKUP(G56,ion!F:G,2,0)</f>
        <v>0</v>
      </c>
      <c r="F56" s="228">
        <f t="shared" si="31"/>
        <v>0</v>
      </c>
      <c r="G56" s="227" t="s">
        <v>181</v>
      </c>
      <c r="H56" s="227" t="s">
        <v>208</v>
      </c>
      <c r="I56" s="227" t="s">
        <v>176</v>
      </c>
      <c r="J56" s="227" t="s">
        <v>190</v>
      </c>
      <c r="K56" s="227"/>
      <c r="L56" s="227"/>
      <c r="M56" s="227"/>
      <c r="N56" s="227"/>
      <c r="O56" s="227"/>
      <c r="P56" s="227"/>
      <c r="Q56" s="227">
        <v>55.934899999999999</v>
      </c>
      <c r="R56" s="229" t="s">
        <v>135</v>
      </c>
      <c r="S56" s="229">
        <f t="shared" si="32"/>
        <v>55.934899999999999</v>
      </c>
      <c r="T56" s="229">
        <f t="shared" si="11"/>
        <v>0</v>
      </c>
      <c r="U56" s="229"/>
      <c r="V56" s="229">
        <f t="shared" si="33"/>
        <v>0</v>
      </c>
      <c r="W56" s="230">
        <f t="shared" si="34"/>
        <v>0</v>
      </c>
      <c r="X56" s="231">
        <f t="shared" si="35"/>
        <v>0</v>
      </c>
      <c r="Y56" s="229"/>
      <c r="Z56" s="232"/>
      <c r="AA56" s="229"/>
      <c r="AB56" s="232"/>
      <c r="AC56" s="227"/>
      <c r="AD56" s="227">
        <f t="shared" si="12"/>
        <v>0</v>
      </c>
      <c r="AE56" s="227"/>
      <c r="AF56" s="233"/>
    </row>
    <row r="57" spans="1:32" x14ac:dyDescent="0.2">
      <c r="A57" s="245"/>
      <c r="B57" s="279" t="s">
        <v>407</v>
      </c>
      <c r="C57" s="280" t="s">
        <v>413</v>
      </c>
      <c r="D57" s="227"/>
      <c r="E57" s="347">
        <f>VLOOKUP(G57,ion!F:G,2,0)</f>
        <v>2.7541522975428378E-3</v>
      </c>
      <c r="F57" s="228">
        <f t="shared" si="31"/>
        <v>6.7463001071385727E-4</v>
      </c>
      <c r="G57" s="227" t="s">
        <v>321</v>
      </c>
      <c r="H57" s="227" t="s">
        <v>208</v>
      </c>
      <c r="I57" s="227" t="s">
        <v>176</v>
      </c>
      <c r="J57" s="227" t="s">
        <v>322</v>
      </c>
      <c r="K57" s="227"/>
      <c r="L57" s="227"/>
      <c r="M57" s="227"/>
      <c r="N57" s="227"/>
      <c r="O57" s="227"/>
      <c r="P57" s="227"/>
      <c r="Q57" s="227">
        <v>63.545999999999999</v>
      </c>
      <c r="R57" s="229" t="s">
        <v>135</v>
      </c>
      <c r="S57" s="229">
        <f t="shared" si="32"/>
        <v>63.545999999999999</v>
      </c>
      <c r="T57" s="229">
        <f t="shared" si="11"/>
        <v>0.17501536189965716</v>
      </c>
      <c r="U57" s="229"/>
      <c r="V57" s="229">
        <f>T57/$U$51</f>
        <v>4.2870038660822764E-3</v>
      </c>
      <c r="W57" s="230">
        <f t="shared" si="34"/>
        <v>4.2870038660822768E-5</v>
      </c>
      <c r="X57" s="231">
        <f>W57/S57*1000</f>
        <v>6.7463001071385727E-4</v>
      </c>
      <c r="Y57" s="229"/>
      <c r="Z57" s="232"/>
      <c r="AA57" s="229"/>
      <c r="AB57" s="232"/>
      <c r="AC57" s="227"/>
      <c r="AD57" s="227">
        <f t="shared" si="12"/>
        <v>4.2870038660822768E-5</v>
      </c>
      <c r="AE57" s="227"/>
      <c r="AF57" s="233"/>
    </row>
    <row r="58" spans="1:32" x14ac:dyDescent="0.2">
      <c r="A58" s="245"/>
      <c r="B58" s="279" t="s">
        <v>407</v>
      </c>
      <c r="C58" s="280" t="s">
        <v>413</v>
      </c>
      <c r="D58" s="227"/>
      <c r="E58" s="347">
        <f>VLOOKUP(G58,ion!F:G,2,0)</f>
        <v>2.6867311886678603E-3</v>
      </c>
      <c r="F58" s="228">
        <f t="shared" si="31"/>
        <v>6.5811520017006642E-4</v>
      </c>
      <c r="G58" s="227" t="s">
        <v>182</v>
      </c>
      <c r="H58" s="227" t="s">
        <v>208</v>
      </c>
      <c r="I58" s="227" t="s">
        <v>176</v>
      </c>
      <c r="J58" s="227" t="s">
        <v>191</v>
      </c>
      <c r="K58" s="227"/>
      <c r="L58" s="227"/>
      <c r="M58" s="227"/>
      <c r="N58" s="227"/>
      <c r="O58" s="227"/>
      <c r="P58" s="227"/>
      <c r="Q58" s="227">
        <v>54.938000000000002</v>
      </c>
      <c r="R58" s="229" t="s">
        <v>135</v>
      </c>
      <c r="S58" s="229">
        <f t="shared" si="32"/>
        <v>54.938000000000002</v>
      </c>
      <c r="T58" s="229">
        <f t="shared" si="11"/>
        <v>0.14760363804303492</v>
      </c>
      <c r="U58" s="229"/>
      <c r="V58" s="229">
        <f t="shared" si="33"/>
        <v>3.6155532866943107E-3</v>
      </c>
      <c r="W58" s="230">
        <f t="shared" si="34"/>
        <v>3.6155532866943111E-5</v>
      </c>
      <c r="X58" s="231">
        <f t="shared" si="35"/>
        <v>6.5811520017006642E-4</v>
      </c>
      <c r="Y58" s="229"/>
      <c r="Z58" s="232"/>
      <c r="AA58" s="229"/>
      <c r="AB58" s="232"/>
      <c r="AC58" s="227"/>
      <c r="AD58" s="227">
        <f t="shared" si="12"/>
        <v>3.6155532866943111E-5</v>
      </c>
      <c r="AE58" s="227"/>
      <c r="AF58" s="233"/>
    </row>
    <row r="59" spans="1:32" x14ac:dyDescent="0.2">
      <c r="A59" s="245"/>
      <c r="B59" s="279" t="s">
        <v>407</v>
      </c>
      <c r="C59" s="280"/>
      <c r="D59" s="227"/>
      <c r="E59" s="347">
        <f>VLOOKUP(G59,ion!F:G,2,0)</f>
        <v>1.3248247893933114E-3</v>
      </c>
      <c r="F59" s="228">
        <f t="shared" ref="F59:F60" si="36">X59</f>
        <v>3.2451602718549079E-4</v>
      </c>
      <c r="G59" s="227" t="s">
        <v>183</v>
      </c>
      <c r="H59" s="227" t="s">
        <v>208</v>
      </c>
      <c r="I59" s="227" t="s">
        <v>176</v>
      </c>
      <c r="J59" s="238" t="s">
        <v>194</v>
      </c>
      <c r="K59" s="227"/>
      <c r="L59" s="227"/>
      <c r="M59" s="227"/>
      <c r="N59" s="227"/>
      <c r="O59" s="227"/>
      <c r="P59" s="227"/>
      <c r="Q59" s="227">
        <v>63.929099999999998</v>
      </c>
      <c r="R59" s="321" t="s">
        <v>135</v>
      </c>
      <c r="S59" s="229">
        <f t="shared" si="32"/>
        <v>63.929099999999998</v>
      </c>
      <c r="T59" s="229">
        <f t="shared" si="11"/>
        <v>8.4694856443603944E-2</v>
      </c>
      <c r="U59" s="229"/>
      <c r="V59" s="229">
        <f t="shared" si="33"/>
        <v>2.0746017553543955E-3</v>
      </c>
      <c r="W59" s="230">
        <f t="shared" si="34"/>
        <v>2.0746017553543957E-5</v>
      </c>
      <c r="X59" s="231">
        <f t="shared" si="35"/>
        <v>3.2451602718549079E-4</v>
      </c>
      <c r="Y59" s="229"/>
      <c r="Z59" s="232"/>
      <c r="AA59" s="229"/>
      <c r="AB59" s="232"/>
      <c r="AC59" s="227"/>
      <c r="AD59" s="227">
        <f t="shared" si="12"/>
        <v>2.074601755354396E-5</v>
      </c>
      <c r="AE59" s="227"/>
      <c r="AF59" s="233"/>
    </row>
    <row r="60" spans="1:32" x14ac:dyDescent="0.2">
      <c r="A60" s="245"/>
      <c r="B60" s="279" t="s">
        <v>407</v>
      </c>
      <c r="C60" s="280"/>
      <c r="D60" s="227"/>
      <c r="E60" s="347">
        <f>VLOOKUP(G60,ion!F:G,2,0)</f>
        <v>1.2540326250745847E-3</v>
      </c>
      <c r="F60" s="228">
        <f t="shared" si="36"/>
        <v>3.071754761145102E-4</v>
      </c>
      <c r="G60" s="238" t="s">
        <v>468</v>
      </c>
      <c r="H60" s="227" t="s">
        <v>208</v>
      </c>
      <c r="I60" s="227" t="s">
        <v>176</v>
      </c>
      <c r="J60" s="238" t="s">
        <v>444</v>
      </c>
      <c r="K60" s="227"/>
      <c r="L60" s="227"/>
      <c r="M60" s="227"/>
      <c r="N60" s="227"/>
      <c r="O60" s="227"/>
      <c r="P60" s="227"/>
      <c r="Q60" s="227">
        <v>58.693399999999997</v>
      </c>
      <c r="R60" s="321" t="s">
        <v>135</v>
      </c>
      <c r="S60" s="229">
        <f t="shared" si="32"/>
        <v>58.693399999999997</v>
      </c>
      <c r="T60" s="229">
        <f t="shared" si="11"/>
        <v>7.3603438476552624E-2</v>
      </c>
      <c r="U60" s="229"/>
      <c r="V60" s="229">
        <f t="shared" si="33"/>
        <v>1.8029173089779394E-3</v>
      </c>
      <c r="W60" s="230">
        <f t="shared" si="34"/>
        <v>1.8029173089779393E-5</v>
      </c>
      <c r="X60" s="231">
        <f t="shared" si="35"/>
        <v>3.071754761145102E-4</v>
      </c>
      <c r="Y60" s="229"/>
      <c r="Z60" s="232"/>
      <c r="AA60" s="229"/>
      <c r="AB60" s="232"/>
      <c r="AC60" s="227"/>
      <c r="AD60" s="227">
        <f t="shared" si="12"/>
        <v>1.802917308977939E-5</v>
      </c>
      <c r="AE60" s="227"/>
      <c r="AF60" s="233"/>
    </row>
    <row r="61" spans="1:32" x14ac:dyDescent="0.2">
      <c r="A61" s="245"/>
      <c r="B61" s="279" t="s">
        <v>407</v>
      </c>
      <c r="C61" s="280" t="s">
        <v>413</v>
      </c>
      <c r="D61" s="227"/>
      <c r="E61" s="347">
        <f>VLOOKUP(G61,ion!F:G,2,0)</f>
        <v>2.6968443549991071E-5</v>
      </c>
      <c r="F61" s="228">
        <f t="shared" si="31"/>
        <v>6.6059242175163502E-6</v>
      </c>
      <c r="G61" s="227" t="s">
        <v>197</v>
      </c>
      <c r="H61" s="227" t="s">
        <v>208</v>
      </c>
      <c r="I61" s="227" t="s">
        <v>176</v>
      </c>
      <c r="J61" s="227" t="s">
        <v>198</v>
      </c>
      <c r="K61" s="227">
        <v>0</v>
      </c>
      <c r="L61" s="227">
        <v>0</v>
      </c>
      <c r="M61" s="227">
        <v>0</v>
      </c>
      <c r="N61" s="227">
        <v>4</v>
      </c>
      <c r="O61" s="227">
        <v>0</v>
      </c>
      <c r="P61" s="227">
        <v>0</v>
      </c>
      <c r="Q61" s="227">
        <f>(K61*12.011)+(L61*1.008)+(N61*15.999)+(14.007*M61)+(O61*30.974)+(P61*32.066)+95.96</f>
        <v>159.95599999999999</v>
      </c>
      <c r="R61" s="229" t="s">
        <v>135</v>
      </c>
      <c r="S61" s="229">
        <f t="shared" si="32"/>
        <v>159.95599999999999</v>
      </c>
      <c r="T61" s="229">
        <f t="shared" si="11"/>
        <v>4.3137643564823717E-3</v>
      </c>
      <c r="U61" s="229"/>
      <c r="V61" s="229">
        <f>T61/$U$51</f>
        <v>1.0566572141370453E-4</v>
      </c>
      <c r="W61" s="230">
        <f t="shared" si="34"/>
        <v>1.0566572141370453E-6</v>
      </c>
      <c r="X61" s="231">
        <f t="shared" si="35"/>
        <v>6.6059242175163502E-6</v>
      </c>
      <c r="Y61" s="229"/>
      <c r="Z61" s="232"/>
      <c r="AA61" s="229"/>
      <c r="AB61" s="232"/>
      <c r="AC61" s="227"/>
      <c r="AD61" s="227">
        <f t="shared" si="12"/>
        <v>1.0566572141370453E-6</v>
      </c>
      <c r="AE61" s="227"/>
      <c r="AF61" s="233"/>
    </row>
    <row r="62" spans="1:32" x14ac:dyDescent="0.2">
      <c r="A62" s="245"/>
      <c r="B62" s="279" t="s">
        <v>407</v>
      </c>
      <c r="C62" s="280" t="s">
        <v>413</v>
      </c>
      <c r="D62" s="227"/>
      <c r="E62" s="347">
        <f>VLOOKUP(G62,ion!F:G,2,0)</f>
        <v>9.7760607868717627E-5</v>
      </c>
      <c r="F62" s="228">
        <f t="shared" si="31"/>
        <v>2.3946475288496772E-5</v>
      </c>
      <c r="G62" s="227" t="s">
        <v>193</v>
      </c>
      <c r="H62" s="227" t="s">
        <v>208</v>
      </c>
      <c r="I62" s="227" t="s">
        <v>176</v>
      </c>
      <c r="J62" s="227" t="s">
        <v>192</v>
      </c>
      <c r="K62" s="227"/>
      <c r="L62" s="227"/>
      <c r="M62" s="227"/>
      <c r="N62" s="227"/>
      <c r="O62" s="227"/>
      <c r="P62" s="227"/>
      <c r="Q62" s="227">
        <v>58.933199999999999</v>
      </c>
      <c r="R62" s="229" t="s">
        <v>135</v>
      </c>
      <c r="S62" s="229">
        <f t="shared" si="32"/>
        <v>58.933199999999999</v>
      </c>
      <c r="T62" s="229">
        <f t="shared" si="11"/>
        <v>5.7613454556487099E-3</v>
      </c>
      <c r="U62" s="229"/>
      <c r="V62" s="229">
        <f t="shared" si="33"/>
        <v>1.4112424174720378E-4</v>
      </c>
      <c r="W62" s="230">
        <f t="shared" si="34"/>
        <v>1.4112424174720379E-6</v>
      </c>
      <c r="X62" s="231">
        <f t="shared" si="35"/>
        <v>2.3946475288496772E-5</v>
      </c>
      <c r="Y62" s="229"/>
      <c r="Z62" s="232"/>
      <c r="AA62" s="229"/>
      <c r="AB62" s="232"/>
      <c r="AC62" s="227"/>
      <c r="AD62" s="227">
        <f t="shared" si="12"/>
        <v>1.4112424174720379E-6</v>
      </c>
      <c r="AE62" s="227"/>
      <c r="AF62" s="233"/>
    </row>
    <row r="63" spans="1:32" x14ac:dyDescent="0.2">
      <c r="A63" s="245"/>
      <c r="B63" s="279" t="s">
        <v>407</v>
      </c>
      <c r="C63" s="280" t="s">
        <v>413</v>
      </c>
      <c r="D63" s="227"/>
      <c r="E63" s="347">
        <f>VLOOKUP(G63,ion!F:G,2,0)</f>
        <v>2.0226332662493303E-2</v>
      </c>
      <c r="F63" s="228">
        <f t="shared" si="31"/>
        <v>4.9544431631372626E-3</v>
      </c>
      <c r="G63" s="227" t="s">
        <v>184</v>
      </c>
      <c r="H63" s="227" t="s">
        <v>208</v>
      </c>
      <c r="I63" s="227" t="s">
        <v>176</v>
      </c>
      <c r="J63" s="227" t="s">
        <v>195</v>
      </c>
      <c r="K63" s="227"/>
      <c r="L63" s="227"/>
      <c r="M63" s="227"/>
      <c r="N63" s="227"/>
      <c r="O63" s="227"/>
      <c r="P63" s="227"/>
      <c r="Q63" s="227">
        <v>34.968899999999998</v>
      </c>
      <c r="R63" s="229" t="s">
        <v>135</v>
      </c>
      <c r="S63" s="229">
        <f t="shared" si="32"/>
        <v>34.968899999999998</v>
      </c>
      <c r="T63" s="229">
        <f t="shared" si="11"/>
        <v>0.70729260424146201</v>
      </c>
      <c r="U63" s="229"/>
      <c r="V63" s="229">
        <f t="shared" si="33"/>
        <v>1.7325142752743061E-2</v>
      </c>
      <c r="W63" s="230">
        <f t="shared" si="34"/>
        <v>1.7325142752743061E-4</v>
      </c>
      <c r="X63" s="231">
        <f t="shared" si="35"/>
        <v>4.9544431631372626E-3</v>
      </c>
      <c r="Y63" s="229"/>
      <c r="Z63" s="232"/>
      <c r="AA63" s="229"/>
      <c r="AB63" s="232"/>
      <c r="AC63" s="227"/>
      <c r="AD63" s="227">
        <f t="shared" si="12"/>
        <v>1.7325142752743061E-4</v>
      </c>
      <c r="AE63" s="227"/>
      <c r="AF63" s="233"/>
    </row>
    <row r="64" spans="1:32" x14ac:dyDescent="0.2">
      <c r="A64" s="245"/>
      <c r="B64" s="279" t="s">
        <v>407</v>
      </c>
      <c r="C64" s="280" t="s">
        <v>413</v>
      </c>
      <c r="D64" s="227"/>
      <c r="E64" s="347">
        <f>VLOOKUP(G64,ion!F:G,2,0)</f>
        <v>1.6855277218744417E-2</v>
      </c>
      <c r="F64" s="228">
        <f t="shared" si="31"/>
        <v>4.1287026359477187E-3</v>
      </c>
      <c r="G64" s="227" t="s">
        <v>185</v>
      </c>
      <c r="H64" s="227" t="s">
        <v>208</v>
      </c>
      <c r="I64" s="227" t="s">
        <v>176</v>
      </c>
      <c r="J64" s="227" t="s">
        <v>196</v>
      </c>
      <c r="K64" s="227">
        <v>0</v>
      </c>
      <c r="L64" s="227">
        <v>0</v>
      </c>
      <c r="M64" s="227">
        <v>0</v>
      </c>
      <c r="N64" s="227">
        <v>4</v>
      </c>
      <c r="O64" s="227">
        <v>0</v>
      </c>
      <c r="P64" s="227">
        <v>1</v>
      </c>
      <c r="Q64" s="227">
        <f>(K64*12.011)+(L64*1.008)+(N64*15.999)+(14.007*M64)+(O64*30.974)+(P64*32.066)</f>
        <v>96.062000000000012</v>
      </c>
      <c r="R64" s="229" t="s">
        <v>135</v>
      </c>
      <c r="S64" s="229">
        <f t="shared" si="32"/>
        <v>96.062000000000012</v>
      </c>
      <c r="T64" s="229">
        <f t="shared" si="11"/>
        <v>1.6191516401870263</v>
      </c>
      <c r="U64" s="229"/>
      <c r="V64" s="229">
        <f t="shared" si="33"/>
        <v>3.9661143261440976E-2</v>
      </c>
      <c r="W64" s="230">
        <f t="shared" si="34"/>
        <v>3.9661143261440979E-4</v>
      </c>
      <c r="X64" s="231">
        <f t="shared" si="35"/>
        <v>4.1287026359477187E-3</v>
      </c>
      <c r="Y64" s="229"/>
      <c r="Z64" s="232"/>
      <c r="AA64" s="229"/>
      <c r="AB64" s="232"/>
      <c r="AC64" s="227"/>
      <c r="AD64" s="227">
        <f t="shared" si="12"/>
        <v>3.9661143261440979E-4</v>
      </c>
      <c r="AE64" s="227"/>
      <c r="AF64" s="233"/>
    </row>
    <row r="65" spans="1:32" x14ac:dyDescent="0.2">
      <c r="A65" s="245"/>
      <c r="B65" s="279" t="s">
        <v>407</v>
      </c>
      <c r="C65" s="280" t="s">
        <v>413</v>
      </c>
      <c r="D65" s="227"/>
      <c r="E65" s="347">
        <f>VLOOKUP(G65,ion!F:G,2,0)</f>
        <v>1.6855277218744417E-2</v>
      </c>
      <c r="F65" s="228">
        <f t="shared" si="31"/>
        <v>4.1287026359477187E-3</v>
      </c>
      <c r="G65" s="227" t="s">
        <v>212</v>
      </c>
      <c r="H65" s="227" t="s">
        <v>208</v>
      </c>
      <c r="I65" s="227" t="s">
        <v>176</v>
      </c>
      <c r="J65" s="227" t="s">
        <v>89</v>
      </c>
      <c r="K65" s="227">
        <v>0</v>
      </c>
      <c r="L65" s="227">
        <v>1</v>
      </c>
      <c r="M65" s="227">
        <v>0</v>
      </c>
      <c r="N65" s="227">
        <v>4</v>
      </c>
      <c r="O65" s="227">
        <v>1</v>
      </c>
      <c r="P65" s="227">
        <v>0</v>
      </c>
      <c r="Q65" s="227">
        <f>(K65*12.011)+(L65*1.008)+(N65*15.999)+(14.007*M65)+(O65*30.974)+(P65*32.066)</f>
        <v>95.978000000000009</v>
      </c>
      <c r="R65" s="229" t="s">
        <v>135</v>
      </c>
      <c r="S65" s="229">
        <f t="shared" si="32"/>
        <v>95.978000000000009</v>
      </c>
      <c r="T65" s="229">
        <f t="shared" si="11"/>
        <v>1.6177357969006518</v>
      </c>
      <c r="U65" s="229"/>
      <c r="V65" s="229">
        <f t="shared" si="33"/>
        <v>3.9626462159299013E-2</v>
      </c>
      <c r="W65" s="230">
        <f t="shared" si="34"/>
        <v>3.9626462159299015E-4</v>
      </c>
      <c r="X65" s="231">
        <f t="shared" si="35"/>
        <v>4.1287026359477187E-3</v>
      </c>
      <c r="Y65" s="229"/>
      <c r="Z65" s="234"/>
      <c r="AA65" s="229"/>
      <c r="AB65" s="230"/>
      <c r="AC65" s="227"/>
      <c r="AD65" s="227">
        <f t="shared" si="12"/>
        <v>3.962646215929902E-4</v>
      </c>
      <c r="AE65" s="227"/>
      <c r="AF65" s="233"/>
    </row>
    <row r="66" spans="1:32" x14ac:dyDescent="0.2">
      <c r="A66" s="245"/>
      <c r="B66" s="315" t="s">
        <v>479</v>
      </c>
      <c r="C66" s="280"/>
      <c r="D66" s="227"/>
      <c r="E66" s="347">
        <f>VLOOKUP(G66,ion!F:G,2,0)</f>
        <v>1.0113166331246651E-4</v>
      </c>
      <c r="F66" s="228">
        <f t="shared" si="31"/>
        <v>2.4772215815686305E-5</v>
      </c>
      <c r="G66" s="227" t="s">
        <v>427</v>
      </c>
      <c r="H66" s="227" t="s">
        <v>208</v>
      </c>
      <c r="I66" s="227" t="s">
        <v>176</v>
      </c>
      <c r="J66" s="227" t="s">
        <v>429</v>
      </c>
      <c r="K66" s="227">
        <v>0</v>
      </c>
      <c r="L66" s="227">
        <v>0</v>
      </c>
      <c r="M66" s="227">
        <v>0</v>
      </c>
      <c r="N66" s="227">
        <v>0</v>
      </c>
      <c r="O66" s="227">
        <v>0</v>
      </c>
      <c r="P66" s="227">
        <v>2</v>
      </c>
      <c r="Q66" s="227">
        <f>(2*32.066)+(2*55.9349)</f>
        <v>176.0018</v>
      </c>
      <c r="R66" s="229" t="s">
        <v>135</v>
      </c>
      <c r="S66" s="229">
        <f t="shared" si="32"/>
        <v>176.0018</v>
      </c>
      <c r="T66" s="229">
        <f t="shared" si="11"/>
        <v>1.7799354779988067E-2</v>
      </c>
      <c r="U66" s="229"/>
      <c r="V66" s="229">
        <f>T66/$U$51</f>
        <v>4.3599545735492585E-4</v>
      </c>
      <c r="W66" s="230">
        <f t="shared" si="34"/>
        <v>4.3599545735492586E-6</v>
      </c>
      <c r="X66" s="231">
        <f>W66/S66*1000</f>
        <v>2.4772215815686305E-5</v>
      </c>
      <c r="Y66" s="229"/>
      <c r="Z66" s="234"/>
      <c r="AA66" s="229"/>
      <c r="AB66" s="230"/>
      <c r="AC66" s="227"/>
      <c r="AD66" s="227">
        <f t="shared" si="12"/>
        <v>4.3599545735492577E-6</v>
      </c>
      <c r="AE66" s="227"/>
      <c r="AF66" s="233"/>
    </row>
    <row r="67" spans="1:32" x14ac:dyDescent="0.2">
      <c r="A67" s="245"/>
      <c r="B67" s="315" t="s">
        <v>479</v>
      </c>
      <c r="C67" s="280"/>
      <c r="D67" s="227"/>
      <c r="E67" s="347">
        <f>VLOOKUP(G67,ion!F:G,2,0)</f>
        <v>1.0113166331246651E-3</v>
      </c>
      <c r="F67" s="228">
        <f t="shared" si="31"/>
        <v>2.4772215815686312E-4</v>
      </c>
      <c r="G67" s="227" t="s">
        <v>428</v>
      </c>
      <c r="H67" s="227" t="s">
        <v>208</v>
      </c>
      <c r="I67" s="227" t="s">
        <v>176</v>
      </c>
      <c r="J67" s="227" t="s">
        <v>430</v>
      </c>
      <c r="K67" s="227">
        <v>0</v>
      </c>
      <c r="L67" s="227">
        <v>0</v>
      </c>
      <c r="M67" s="227">
        <v>0</v>
      </c>
      <c r="N67" s="227">
        <v>0</v>
      </c>
      <c r="O67" s="227">
        <v>0</v>
      </c>
      <c r="P67" s="227">
        <v>4</v>
      </c>
      <c r="Q67" s="227">
        <f>(4*32.066)+(4*55.9349)</f>
        <v>352.00360000000001</v>
      </c>
      <c r="R67" s="229" t="s">
        <v>135</v>
      </c>
      <c r="S67" s="229">
        <f t="shared" si="32"/>
        <v>352.00360000000001</v>
      </c>
      <c r="T67" s="229">
        <f t="shared" si="11"/>
        <v>0.35598709559976138</v>
      </c>
      <c r="U67" s="229"/>
      <c r="V67" s="229">
        <f>T67/$U$51</f>
        <v>8.7199091470985188E-3</v>
      </c>
      <c r="W67" s="230">
        <f t="shared" si="34"/>
        <v>8.7199091470985195E-5</v>
      </c>
      <c r="X67" s="231">
        <f>W67/S67*1000</f>
        <v>2.4772215815686312E-4</v>
      </c>
      <c r="Y67" s="229"/>
      <c r="Z67" s="234"/>
      <c r="AA67" s="229"/>
      <c r="AB67" s="230"/>
      <c r="AC67" s="227"/>
      <c r="AD67" s="227">
        <f t="shared" si="12"/>
        <v>8.7199091470985181E-5</v>
      </c>
      <c r="AE67" s="227"/>
      <c r="AF67" s="233"/>
    </row>
    <row r="68" spans="1:32" x14ac:dyDescent="0.2">
      <c r="A68" s="245"/>
      <c r="B68" s="315" t="s">
        <v>479</v>
      </c>
      <c r="C68" s="280"/>
      <c r="D68" s="227"/>
      <c r="E68" s="347">
        <f>VLOOKUP(G68,ion!F:G,2,0)</f>
        <v>4.7531881756859254E-4</v>
      </c>
      <c r="F68" s="228">
        <f t="shared" ref="F68:F69" si="37">X68</f>
        <v>1.1642941433372565E-4</v>
      </c>
      <c r="G68" s="238" t="s">
        <v>456</v>
      </c>
      <c r="H68" s="227" t="s">
        <v>208</v>
      </c>
      <c r="I68" s="227" t="s">
        <v>176</v>
      </c>
      <c r="J68" s="238" t="s">
        <v>480</v>
      </c>
      <c r="K68" s="227">
        <v>40</v>
      </c>
      <c r="L68" s="227">
        <v>44</v>
      </c>
      <c r="M68" s="227">
        <v>20</v>
      </c>
      <c r="N68" s="227">
        <v>27</v>
      </c>
      <c r="O68" s="227">
        <v>4</v>
      </c>
      <c r="P68" s="227">
        <v>4</v>
      </c>
      <c r="Q68" s="227">
        <f>(K68*12.011)+(L68*1.008)+(N68*15.999)+(14.007*M68)+(O68*30.974)+(P68*32.066)+95.96</f>
        <v>1585.0249999999996</v>
      </c>
      <c r="R68" s="321" t="s">
        <v>135</v>
      </c>
      <c r="S68" s="229">
        <f t="shared" si="32"/>
        <v>1585.0249999999996</v>
      </c>
      <c r="T68" s="229">
        <f t="shared" ref="T68:T69" si="38">E68*S68</f>
        <v>0.75339220881665825</v>
      </c>
      <c r="U68" s="229"/>
      <c r="V68" s="229">
        <f t="shared" ref="V68:V69" si="39">T68/$U$51</f>
        <v>1.8454353245431345E-2</v>
      </c>
      <c r="W68" s="230">
        <f t="shared" si="34"/>
        <v>1.8454353245431345E-4</v>
      </c>
      <c r="X68" s="231">
        <f t="shared" ref="X68:X69" si="40">W68/S68*1000</f>
        <v>1.1642941433372565E-4</v>
      </c>
      <c r="Y68" s="229"/>
      <c r="Z68" s="234"/>
      <c r="AA68" s="229"/>
      <c r="AB68" s="230"/>
      <c r="AC68" s="227"/>
      <c r="AD68" s="227">
        <f t="shared" ref="AD68:AD99" si="41">(F68*Q68)/1000</f>
        <v>1.8454353245431345E-4</v>
      </c>
      <c r="AE68" s="227"/>
      <c r="AF68" s="233"/>
    </row>
    <row r="69" spans="1:32" x14ac:dyDescent="0.2">
      <c r="A69" s="245"/>
      <c r="B69" s="315" t="s">
        <v>479</v>
      </c>
      <c r="C69" s="280"/>
      <c r="D69" s="227"/>
      <c r="E69" s="347">
        <f>VLOOKUP(G69,ion!F:G,2,0)</f>
        <v>2.6968443549991071E-5</v>
      </c>
      <c r="F69" s="228">
        <f t="shared" si="37"/>
        <v>6.6059242175163502E-6</v>
      </c>
      <c r="G69" s="238" t="s">
        <v>458</v>
      </c>
      <c r="H69" s="227" t="s">
        <v>208</v>
      </c>
      <c r="I69" s="227" t="s">
        <v>176</v>
      </c>
      <c r="J69" s="238" t="s">
        <v>481</v>
      </c>
      <c r="K69" s="227">
        <v>20</v>
      </c>
      <c r="L69" s="227">
        <v>22</v>
      </c>
      <c r="M69" s="227">
        <v>10</v>
      </c>
      <c r="N69" s="227">
        <v>15</v>
      </c>
      <c r="O69" s="227">
        <v>2</v>
      </c>
      <c r="P69" s="227">
        <v>2</v>
      </c>
      <c r="Q69" s="227">
        <f t="shared" ref="Q69" si="42">(K69*12.011)+(L69*1.008)+(N69*15.999)+(14.007*M69)+(O69*30.974)+(P69*32.066)+95.96</f>
        <v>864.49099999999999</v>
      </c>
      <c r="R69" s="321" t="s">
        <v>135</v>
      </c>
      <c r="S69" s="229">
        <f t="shared" si="32"/>
        <v>864.49099999999999</v>
      </c>
      <c r="T69" s="229">
        <f t="shared" si="38"/>
        <v>2.331397673297533E-2</v>
      </c>
      <c r="U69" s="229"/>
      <c r="V69" s="229">
        <f t="shared" si="39"/>
        <v>5.710762032724927E-4</v>
      </c>
      <c r="W69" s="230">
        <f t="shared" si="34"/>
        <v>5.7107620327249272E-6</v>
      </c>
      <c r="X69" s="231">
        <f t="shared" si="40"/>
        <v>6.6059242175163502E-6</v>
      </c>
      <c r="Y69" s="229"/>
      <c r="Z69" s="234"/>
      <c r="AA69" s="229"/>
      <c r="AB69" s="230"/>
      <c r="AC69" s="227"/>
      <c r="AD69" s="227">
        <f t="shared" si="41"/>
        <v>5.7107620327249272E-6</v>
      </c>
      <c r="AE69" s="227"/>
      <c r="AF69" s="233">
        <f>SUM(AD51:AD69)</f>
        <v>9.9999999999999985E-3</v>
      </c>
    </row>
    <row r="70" spans="1:32" x14ac:dyDescent="0.2">
      <c r="A70" s="245"/>
      <c r="B70" s="202"/>
      <c r="C70" s="203" t="s">
        <v>166</v>
      </c>
      <c r="D70" s="414">
        <f>AF97</f>
        <v>7.8973433789410723E-3</v>
      </c>
      <c r="E70" s="203"/>
      <c r="F70" s="204">
        <f>VLOOKUP(G70,soluble_pool!F:H,3,0)</f>
        <v>3.0682784370263574E-2</v>
      </c>
      <c r="G70" s="203" t="s">
        <v>21</v>
      </c>
      <c r="H70" s="203" t="s">
        <v>208</v>
      </c>
      <c r="I70" s="203" t="s">
        <v>316</v>
      </c>
      <c r="J70" s="203" t="s">
        <v>92</v>
      </c>
      <c r="K70" s="203">
        <v>4</v>
      </c>
      <c r="L70" s="203">
        <v>14</v>
      </c>
      <c r="M70" s="203">
        <v>2</v>
      </c>
      <c r="N70" s="203">
        <v>0</v>
      </c>
      <c r="O70" s="203">
        <v>0</v>
      </c>
      <c r="P70" s="203">
        <v>0</v>
      </c>
      <c r="Q70" s="203">
        <f>(K70*12.011)+(L70*1.008)+(N70*15.999)+(14.007*M70)+(O70*30.974)+(P70*32.066)</f>
        <v>90.17</v>
      </c>
      <c r="R70" s="207" t="s">
        <v>135</v>
      </c>
      <c r="S70" s="90">
        <f>Q70</f>
        <v>90.17</v>
      </c>
      <c r="T70" s="90"/>
      <c r="U70" s="90"/>
      <c r="V70" s="90"/>
      <c r="W70" s="208"/>
      <c r="X70" s="209"/>
      <c r="Y70" s="205"/>
      <c r="Z70" s="203"/>
      <c r="AA70" s="203"/>
      <c r="AB70" s="203"/>
      <c r="AC70" s="203"/>
      <c r="AD70" s="203">
        <f t="shared" si="41"/>
        <v>2.7666666666666664E-3</v>
      </c>
      <c r="AE70" s="203"/>
      <c r="AF70" s="212"/>
    </row>
    <row r="71" spans="1:32" x14ac:dyDescent="0.2">
      <c r="B71" s="202"/>
      <c r="C71" s="203"/>
      <c r="D71" s="203"/>
      <c r="E71" s="203"/>
      <c r="F71" s="204">
        <f>VLOOKUP(G71,soluble_pool!F:H,3,0)</f>
        <v>6.0698436678042009E-3</v>
      </c>
      <c r="G71" s="203" t="s">
        <v>22</v>
      </c>
      <c r="H71" s="203" t="s">
        <v>208</v>
      </c>
      <c r="I71" s="203" t="s">
        <v>316</v>
      </c>
      <c r="J71" s="203" t="s">
        <v>94</v>
      </c>
      <c r="K71" s="203">
        <v>7</v>
      </c>
      <c r="L71" s="203">
        <v>22</v>
      </c>
      <c r="M71" s="203">
        <v>3</v>
      </c>
      <c r="N71" s="203">
        <v>0</v>
      </c>
      <c r="O71" s="203">
        <v>0</v>
      </c>
      <c r="P71" s="203">
        <v>0</v>
      </c>
      <c r="Q71" s="203">
        <f>(K71*12.011)+(L71*1.008)+(N71*15.999)+(14.007*M71)+(O71*30.974)+(P71*32.066)</f>
        <v>148.274</v>
      </c>
      <c r="R71" s="207" t="s">
        <v>135</v>
      </c>
      <c r="S71" s="90">
        <f>Q71</f>
        <v>148.274</v>
      </c>
      <c r="T71" s="90"/>
      <c r="U71" s="203"/>
      <c r="V71" s="90"/>
      <c r="W71" s="208"/>
      <c r="X71" s="209"/>
      <c r="Y71" s="205"/>
      <c r="Z71" s="268"/>
      <c r="AA71" s="90"/>
      <c r="AB71" s="208"/>
      <c r="AC71" s="203"/>
      <c r="AD71" s="203">
        <f t="shared" si="41"/>
        <v>9.0000000000000008E-4</v>
      </c>
      <c r="AE71" s="203"/>
      <c r="AF71" s="212"/>
    </row>
    <row r="72" spans="1:32" x14ac:dyDescent="0.2">
      <c r="B72" s="202"/>
      <c r="C72" s="203"/>
      <c r="D72" s="203"/>
      <c r="E72" s="203"/>
      <c r="F72" s="204">
        <f>VLOOKUP(G72,soluble_pool!F:H,3,0)</f>
        <v>2.7916666666666671E-4</v>
      </c>
      <c r="G72" s="203" t="s">
        <v>26</v>
      </c>
      <c r="H72" s="203" t="s">
        <v>208</v>
      </c>
      <c r="I72" s="203" t="s">
        <v>25</v>
      </c>
      <c r="J72" s="203" t="s">
        <v>62</v>
      </c>
      <c r="K72" s="203">
        <v>23</v>
      </c>
      <c r="L72" s="203">
        <v>34</v>
      </c>
      <c r="M72" s="203">
        <v>7</v>
      </c>
      <c r="N72" s="206">
        <v>17</v>
      </c>
      <c r="O72" s="206">
        <v>3</v>
      </c>
      <c r="P72" s="206">
        <v>1</v>
      </c>
      <c r="Q72" s="206">
        <f>(K72*12.011)+(L72*1.008)+(N72*15.999)+(14.007*M72)+(O72*30.974)+(P72*32.066)</f>
        <v>805.54500000000007</v>
      </c>
      <c r="R72" s="207" t="s">
        <v>135</v>
      </c>
      <c r="S72" s="90">
        <f t="shared" ref="S72:S97" si="43">Q72</f>
        <v>805.54500000000007</v>
      </c>
      <c r="T72" s="206"/>
      <c r="U72" s="206"/>
      <c r="V72" s="206"/>
      <c r="W72" s="205"/>
      <c r="X72" s="209"/>
      <c r="Y72" s="205"/>
      <c r="Z72" s="203"/>
      <c r="AA72" s="203"/>
      <c r="AB72" s="203"/>
      <c r="AC72" s="203"/>
      <c r="AD72" s="203">
        <f t="shared" si="41"/>
        <v>2.2488131250000007E-4</v>
      </c>
      <c r="AE72" s="203"/>
      <c r="AF72" s="212"/>
    </row>
    <row r="73" spans="1:32" x14ac:dyDescent="0.2">
      <c r="B73" s="202"/>
      <c r="C73" s="203"/>
      <c r="D73" s="203"/>
      <c r="E73" s="203"/>
      <c r="F73" s="204">
        <f>VLOOKUP(G73,soluble_pool!F:H,3,0)</f>
        <v>1.6750000000000003E-4</v>
      </c>
      <c r="G73" s="203" t="s">
        <v>27</v>
      </c>
      <c r="H73" s="203" t="s">
        <v>208</v>
      </c>
      <c r="I73" s="203" t="s">
        <v>25</v>
      </c>
      <c r="J73" s="203" t="s">
        <v>69</v>
      </c>
      <c r="K73" s="203">
        <v>21</v>
      </c>
      <c r="L73" s="203">
        <v>32</v>
      </c>
      <c r="M73" s="203">
        <v>7</v>
      </c>
      <c r="N73" s="206">
        <v>16</v>
      </c>
      <c r="O73" s="206">
        <v>3</v>
      </c>
      <c r="P73" s="206">
        <v>1</v>
      </c>
      <c r="Q73" s="206">
        <f t="shared" ref="Q73:Q79" si="44">(K73*12.011)+(L73*1.008)+(N73*15.999)+(14.007*M73)+(O73*30.974)+(P73*32.066)</f>
        <v>763.50800000000004</v>
      </c>
      <c r="R73" s="207" t="s">
        <v>135</v>
      </c>
      <c r="S73" s="90">
        <f t="shared" si="43"/>
        <v>763.50800000000004</v>
      </c>
      <c r="T73" s="206"/>
      <c r="U73" s="206"/>
      <c r="V73" s="206"/>
      <c r="W73" s="205"/>
      <c r="X73" s="209"/>
      <c r="Y73" s="205"/>
      <c r="Z73" s="203"/>
      <c r="AA73" s="203"/>
      <c r="AB73" s="203"/>
      <c r="AC73" s="203"/>
      <c r="AD73" s="203">
        <f t="shared" si="41"/>
        <v>1.2788759000000003E-4</v>
      </c>
      <c r="AE73" s="203"/>
      <c r="AF73" s="212"/>
    </row>
    <row r="74" spans="1:32" x14ac:dyDescent="0.2">
      <c r="B74" s="202"/>
      <c r="C74" s="203"/>
      <c r="D74" s="203"/>
      <c r="E74" s="203"/>
      <c r="F74" s="204">
        <f>VLOOKUP(G74,soluble_pool!F:H,3,0)</f>
        <v>9.8266666666666679E-5</v>
      </c>
      <c r="G74" s="203" t="s">
        <v>33</v>
      </c>
      <c r="H74" s="203" t="s">
        <v>208</v>
      </c>
      <c r="I74" s="203" t="s">
        <v>25</v>
      </c>
      <c r="J74" s="203" t="s">
        <v>95</v>
      </c>
      <c r="K74" s="203">
        <v>25</v>
      </c>
      <c r="L74" s="203">
        <v>35</v>
      </c>
      <c r="M74" s="203">
        <v>7</v>
      </c>
      <c r="N74" s="206">
        <v>19</v>
      </c>
      <c r="O74" s="206">
        <v>3</v>
      </c>
      <c r="P74" s="206">
        <v>1</v>
      </c>
      <c r="Q74" s="206">
        <f t="shared" si="44"/>
        <v>862.57299999999998</v>
      </c>
      <c r="R74" s="207" t="s">
        <v>135</v>
      </c>
      <c r="S74" s="90">
        <f t="shared" si="43"/>
        <v>862.57299999999998</v>
      </c>
      <c r="T74" s="206"/>
      <c r="U74" s="206"/>
      <c r="V74" s="206"/>
      <c r="W74" s="205"/>
      <c r="X74" s="209"/>
      <c r="Y74" s="205"/>
      <c r="Z74" s="203"/>
      <c r="AA74" s="203"/>
      <c r="AB74" s="203"/>
      <c r="AC74" s="203"/>
      <c r="AD74" s="203">
        <f t="shared" si="41"/>
        <v>8.4762173466666676E-5</v>
      </c>
      <c r="AE74" s="203"/>
      <c r="AF74" s="212"/>
    </row>
    <row r="75" spans="1:32" x14ac:dyDescent="0.2">
      <c r="B75" s="202"/>
      <c r="C75" s="203"/>
      <c r="D75" s="203"/>
      <c r="E75" s="203"/>
      <c r="F75" s="204">
        <f>VLOOKUP(G75,soluble_pool!F:H,3,0)</f>
        <v>3.126666666666667E-5</v>
      </c>
      <c r="G75" s="203" t="s">
        <v>245</v>
      </c>
      <c r="H75" s="203" t="s">
        <v>208</v>
      </c>
      <c r="I75" s="203" t="s">
        <v>25</v>
      </c>
      <c r="J75" s="203" t="s">
        <v>246</v>
      </c>
      <c r="K75" s="203">
        <v>24</v>
      </c>
      <c r="L75" s="203">
        <v>33</v>
      </c>
      <c r="M75" s="203">
        <v>7</v>
      </c>
      <c r="N75" s="206">
        <v>19</v>
      </c>
      <c r="O75" s="206">
        <v>3</v>
      </c>
      <c r="P75" s="206">
        <v>1</v>
      </c>
      <c r="Q75" s="206">
        <f t="shared" si="44"/>
        <v>848.54600000000005</v>
      </c>
      <c r="R75" s="207" t="s">
        <v>135</v>
      </c>
      <c r="S75" s="90">
        <f t="shared" si="43"/>
        <v>848.54600000000005</v>
      </c>
      <c r="T75" s="206"/>
      <c r="U75" s="206"/>
      <c r="V75" s="206"/>
      <c r="W75" s="205"/>
      <c r="X75" s="209"/>
      <c r="Y75" s="205"/>
      <c r="Z75" s="203"/>
      <c r="AA75" s="203"/>
      <c r="AB75" s="203"/>
      <c r="AC75" s="203"/>
      <c r="AD75" s="203">
        <f t="shared" si="41"/>
        <v>2.6531204933333338E-5</v>
      </c>
      <c r="AE75" s="203"/>
      <c r="AF75" s="212"/>
    </row>
    <row r="76" spans="1:32" x14ac:dyDescent="0.2">
      <c r="B76" s="202"/>
      <c r="C76" s="203"/>
      <c r="D76" s="203"/>
      <c r="E76" s="203"/>
      <c r="F76" s="204">
        <f>VLOOKUP(G76,soluble_pool!F:H,3,0)</f>
        <v>1.7866666666666671E-3</v>
      </c>
      <c r="G76" s="203" t="s">
        <v>29</v>
      </c>
      <c r="H76" s="203" t="s">
        <v>208</v>
      </c>
      <c r="I76" s="203" t="s">
        <v>25</v>
      </c>
      <c r="J76" s="203" t="s">
        <v>84</v>
      </c>
      <c r="K76" s="203">
        <v>21</v>
      </c>
      <c r="L76" s="203">
        <v>26</v>
      </c>
      <c r="M76" s="203">
        <v>7</v>
      </c>
      <c r="N76" s="206">
        <v>14</v>
      </c>
      <c r="O76" s="206">
        <v>2</v>
      </c>
      <c r="P76" s="206">
        <v>0</v>
      </c>
      <c r="Q76" s="206">
        <f t="shared" si="44"/>
        <v>662.42199999999991</v>
      </c>
      <c r="R76" s="207" t="s">
        <v>135</v>
      </c>
      <c r="S76" s="90">
        <f>Q76</f>
        <v>662.42199999999991</v>
      </c>
      <c r="T76" s="206"/>
      <c r="U76" s="206"/>
      <c r="V76" s="206"/>
      <c r="W76" s="205"/>
      <c r="X76" s="209"/>
      <c r="Y76" s="205"/>
      <c r="Z76" s="203"/>
      <c r="AA76" s="203"/>
      <c r="AB76" s="203"/>
      <c r="AC76" s="203"/>
      <c r="AD76" s="203">
        <f t="shared" si="41"/>
        <v>1.1835273066666666E-3</v>
      </c>
      <c r="AE76" s="203"/>
      <c r="AF76" s="212"/>
    </row>
    <row r="77" spans="1:32" x14ac:dyDescent="0.2">
      <c r="B77" s="202"/>
      <c r="C77" s="203"/>
      <c r="D77" s="203"/>
      <c r="E77" s="203"/>
      <c r="F77" s="204">
        <f>VLOOKUP(G77,soluble_pool!F:H,3,0)</f>
        <v>4.4666666666666677E-5</v>
      </c>
      <c r="G77" s="203" t="s">
        <v>30</v>
      </c>
      <c r="H77" s="203" t="s">
        <v>208</v>
      </c>
      <c r="I77" s="203" t="s">
        <v>25</v>
      </c>
      <c r="J77" s="203" t="s">
        <v>85</v>
      </c>
      <c r="K77" s="203">
        <v>21</v>
      </c>
      <c r="L77" s="203">
        <v>27</v>
      </c>
      <c r="M77" s="203">
        <v>7</v>
      </c>
      <c r="N77" s="206">
        <v>14</v>
      </c>
      <c r="O77" s="206">
        <v>2</v>
      </c>
      <c r="P77" s="206">
        <v>0</v>
      </c>
      <c r="Q77" s="206">
        <f t="shared" si="44"/>
        <v>663.43</v>
      </c>
      <c r="R77" s="207" t="s">
        <v>135</v>
      </c>
      <c r="S77" s="90">
        <f>Q77</f>
        <v>663.43</v>
      </c>
      <c r="T77" s="206"/>
      <c r="U77" s="206"/>
      <c r="V77" s="206"/>
      <c r="W77" s="205"/>
      <c r="X77" s="209"/>
      <c r="Y77" s="205"/>
      <c r="Z77" s="203"/>
      <c r="AA77" s="203"/>
      <c r="AB77" s="203"/>
      <c r="AC77" s="203"/>
      <c r="AD77" s="203">
        <f t="shared" si="41"/>
        <v>2.9633206666666672E-5</v>
      </c>
      <c r="AE77" s="203"/>
      <c r="AF77" s="212"/>
    </row>
    <row r="78" spans="1:32" x14ac:dyDescent="0.2">
      <c r="B78" s="202"/>
      <c r="C78" s="203"/>
      <c r="D78" s="203"/>
      <c r="E78" s="203"/>
      <c r="F78" s="204">
        <f>VLOOKUP(G78,soluble_pool!F:H,3,0)</f>
        <v>1.1166666666666669E-4</v>
      </c>
      <c r="G78" s="203" t="s">
        <v>31</v>
      </c>
      <c r="H78" s="203" t="s">
        <v>208</v>
      </c>
      <c r="I78" s="203" t="s">
        <v>25</v>
      </c>
      <c r="J78" s="203" t="s">
        <v>86</v>
      </c>
      <c r="K78" s="203">
        <v>21</v>
      </c>
      <c r="L78" s="203">
        <v>25</v>
      </c>
      <c r="M78" s="203">
        <v>7</v>
      </c>
      <c r="N78" s="206">
        <v>17</v>
      </c>
      <c r="O78" s="206">
        <v>3</v>
      </c>
      <c r="P78" s="206">
        <v>0</v>
      </c>
      <c r="Q78" s="206">
        <f t="shared" si="44"/>
        <v>740.38499999999999</v>
      </c>
      <c r="R78" s="207" t="s">
        <v>135</v>
      </c>
      <c r="S78" s="90">
        <f>Q78</f>
        <v>740.38499999999999</v>
      </c>
      <c r="T78" s="206"/>
      <c r="U78" s="206"/>
      <c r="V78" s="206"/>
      <c r="W78" s="205"/>
      <c r="X78" s="209"/>
      <c r="Y78" s="205"/>
      <c r="Z78" s="203"/>
      <c r="AA78" s="203"/>
      <c r="AB78" s="203"/>
      <c r="AC78" s="203"/>
      <c r="AD78" s="203">
        <f t="shared" si="41"/>
        <v>8.2676325000000022E-5</v>
      </c>
      <c r="AE78" s="203"/>
      <c r="AF78" s="212"/>
    </row>
    <row r="79" spans="1:32" x14ac:dyDescent="0.2">
      <c r="B79" s="202"/>
      <c r="C79" s="203"/>
      <c r="D79" s="203"/>
      <c r="E79" s="203"/>
      <c r="F79" s="204">
        <f>VLOOKUP(G79,soluble_pool!F:H,3,0)</f>
        <v>3.3500000000000007E-4</v>
      </c>
      <c r="G79" s="203" t="s">
        <v>32</v>
      </c>
      <c r="H79" s="203" t="s">
        <v>208</v>
      </c>
      <c r="I79" s="203" t="s">
        <v>25</v>
      </c>
      <c r="J79" s="203" t="s">
        <v>87</v>
      </c>
      <c r="K79" s="203">
        <v>21</v>
      </c>
      <c r="L79" s="203">
        <v>26</v>
      </c>
      <c r="M79" s="203">
        <v>7</v>
      </c>
      <c r="N79" s="206">
        <v>17</v>
      </c>
      <c r="O79" s="206">
        <v>3</v>
      </c>
      <c r="P79" s="206">
        <v>0</v>
      </c>
      <c r="Q79" s="206">
        <f t="shared" si="44"/>
        <v>741.39300000000003</v>
      </c>
      <c r="R79" s="207" t="s">
        <v>135</v>
      </c>
      <c r="S79" s="90">
        <f>Q79</f>
        <v>741.39300000000003</v>
      </c>
      <c r="T79" s="206"/>
      <c r="U79" s="206"/>
      <c r="V79" s="206"/>
      <c r="W79" s="205"/>
      <c r="X79" s="209"/>
      <c r="Y79" s="205"/>
      <c r="Z79" s="203"/>
      <c r="AA79" s="203"/>
      <c r="AB79" s="203"/>
      <c r="AC79" s="203"/>
      <c r="AD79" s="203">
        <f t="shared" si="41"/>
        <v>2.4836665500000007E-4</v>
      </c>
      <c r="AE79" s="203"/>
      <c r="AF79" s="212"/>
    </row>
    <row r="80" spans="1:32" x14ac:dyDescent="0.2">
      <c r="B80" s="202"/>
      <c r="C80" s="203"/>
      <c r="D80" s="203"/>
      <c r="E80" s="203"/>
      <c r="F80" s="204">
        <f>VLOOKUP(G80,soluble_pool!F:H,3,0)</f>
        <v>2.2333333333333339E-4</v>
      </c>
      <c r="G80" s="203" t="s">
        <v>28</v>
      </c>
      <c r="H80" s="203" t="s">
        <v>208</v>
      </c>
      <c r="I80" s="203" t="s">
        <v>25</v>
      </c>
      <c r="J80" s="203" t="s">
        <v>74</v>
      </c>
      <c r="K80" s="203">
        <v>27</v>
      </c>
      <c r="L80" s="203">
        <v>31</v>
      </c>
      <c r="M80" s="203">
        <v>9</v>
      </c>
      <c r="N80" s="206">
        <v>15</v>
      </c>
      <c r="O80" s="206">
        <v>2</v>
      </c>
      <c r="P80" s="206">
        <v>0</v>
      </c>
      <c r="Q80" s="206">
        <f t="shared" ref="Q80:Q87" si="45">(K80*12.011)+(L80*1.008)+(N80*15.999)+(14.007*M80)+(O80*30.974)+(P80*32.066)</f>
        <v>783.54099999999994</v>
      </c>
      <c r="R80" s="207" t="s">
        <v>135</v>
      </c>
      <c r="S80" s="90">
        <f t="shared" si="43"/>
        <v>783.54099999999994</v>
      </c>
      <c r="T80" s="206"/>
      <c r="U80" s="206"/>
      <c r="V80" s="206"/>
      <c r="W80" s="205"/>
      <c r="X80" s="209"/>
      <c r="Y80" s="205"/>
      <c r="Z80" s="203"/>
      <c r="AA80" s="203"/>
      <c r="AB80" s="203"/>
      <c r="AC80" s="203"/>
      <c r="AD80" s="203">
        <f t="shared" si="41"/>
        <v>1.7499082333333334E-4</v>
      </c>
      <c r="AE80" s="203"/>
      <c r="AF80" s="212"/>
    </row>
    <row r="81" spans="2:33" x14ac:dyDescent="0.2">
      <c r="B81" s="202"/>
      <c r="C81" s="203"/>
      <c r="D81" s="203"/>
      <c r="E81" s="203"/>
      <c r="F81" s="204">
        <f>VLOOKUP(G81,soluble_pool!F:H,3,0)</f>
        <v>2.2333333333333339E-4</v>
      </c>
      <c r="G81" s="203" t="s">
        <v>248</v>
      </c>
      <c r="H81" s="203" t="s">
        <v>208</v>
      </c>
      <c r="I81" s="203" t="s">
        <v>25</v>
      </c>
      <c r="J81" s="203" t="s">
        <v>254</v>
      </c>
      <c r="K81" s="203">
        <v>19</v>
      </c>
      <c r="L81" s="203">
        <v>21</v>
      </c>
      <c r="M81" s="203">
        <v>7</v>
      </c>
      <c r="N81" s="206">
        <v>6</v>
      </c>
      <c r="O81" s="206">
        <v>0</v>
      </c>
      <c r="P81" s="206">
        <v>0</v>
      </c>
      <c r="Q81" s="206">
        <f t="shared" si="45"/>
        <v>443.41999999999996</v>
      </c>
      <c r="R81" s="207" t="s">
        <v>135</v>
      </c>
      <c r="S81" s="90">
        <f t="shared" si="43"/>
        <v>443.41999999999996</v>
      </c>
      <c r="T81" s="206"/>
      <c r="U81" s="206"/>
      <c r="V81" s="206"/>
      <c r="W81" s="205"/>
      <c r="X81" s="209"/>
      <c r="Y81" s="205"/>
      <c r="Z81" s="203"/>
      <c r="AA81" s="203"/>
      <c r="AB81" s="203"/>
      <c r="AC81" s="203"/>
      <c r="AD81" s="203">
        <f t="shared" si="41"/>
        <v>9.9030466666666673E-5</v>
      </c>
      <c r="AE81" s="203"/>
      <c r="AF81" s="212"/>
    </row>
    <row r="82" spans="2:33" x14ac:dyDescent="0.2">
      <c r="B82" s="202"/>
      <c r="C82" s="203"/>
      <c r="D82" s="203"/>
      <c r="E82" s="203"/>
      <c r="F82" s="204">
        <f>VLOOKUP(G82,soluble_pool!F:H,3,0)</f>
        <v>2.2333333333333339E-4</v>
      </c>
      <c r="G82" s="203" t="s">
        <v>339</v>
      </c>
      <c r="H82" s="203" t="s">
        <v>208</v>
      </c>
      <c r="I82" s="203" t="s">
        <v>25</v>
      </c>
      <c r="J82" s="203" t="s">
        <v>341</v>
      </c>
      <c r="K82" s="203">
        <v>20</v>
      </c>
      <c r="L82" s="203">
        <v>21</v>
      </c>
      <c r="M82" s="203">
        <v>7</v>
      </c>
      <c r="N82" s="206">
        <v>6</v>
      </c>
      <c r="O82" s="206">
        <v>0</v>
      </c>
      <c r="P82" s="206">
        <v>0</v>
      </c>
      <c r="Q82" s="206">
        <f t="shared" si="45"/>
        <v>455.43099999999993</v>
      </c>
      <c r="R82" s="207" t="s">
        <v>135</v>
      </c>
      <c r="S82" s="90">
        <f>Q82</f>
        <v>455.43099999999993</v>
      </c>
      <c r="T82" s="206"/>
      <c r="U82" s="206"/>
      <c r="V82" s="206"/>
      <c r="W82" s="205"/>
      <c r="X82" s="209"/>
      <c r="Y82" s="205"/>
      <c r="Z82" s="203"/>
      <c r="AA82" s="203"/>
      <c r="AB82" s="203"/>
      <c r="AC82" s="203"/>
      <c r="AD82" s="203">
        <f t="shared" si="41"/>
        <v>1.0171292333333334E-4</v>
      </c>
      <c r="AE82" s="203"/>
      <c r="AF82" s="212"/>
    </row>
    <row r="83" spans="2:33" x14ac:dyDescent="0.2">
      <c r="B83" s="202"/>
      <c r="C83" s="203"/>
      <c r="D83" s="203"/>
      <c r="E83" s="203"/>
      <c r="F83" s="204">
        <f>VLOOKUP(G83,soluble_pool!F:H,3,0)</f>
        <v>2.2333333333333339E-4</v>
      </c>
      <c r="G83" s="203" t="s">
        <v>340</v>
      </c>
      <c r="H83" s="203" t="s">
        <v>208</v>
      </c>
      <c r="I83" s="203" t="s">
        <v>25</v>
      </c>
      <c r="J83" s="203" t="s">
        <v>342</v>
      </c>
      <c r="K83" s="203">
        <v>20</v>
      </c>
      <c r="L83" s="203">
        <v>24</v>
      </c>
      <c r="M83" s="203">
        <v>7</v>
      </c>
      <c r="N83" s="206">
        <v>6</v>
      </c>
      <c r="O83" s="206">
        <v>0</v>
      </c>
      <c r="P83" s="206">
        <v>0</v>
      </c>
      <c r="Q83" s="206">
        <f t="shared" si="45"/>
        <v>458.45499999999993</v>
      </c>
      <c r="R83" s="207" t="s">
        <v>135</v>
      </c>
      <c r="S83" s="90">
        <f>Q83</f>
        <v>458.45499999999993</v>
      </c>
      <c r="T83" s="206"/>
      <c r="U83" s="206"/>
      <c r="V83" s="206"/>
      <c r="W83" s="205"/>
      <c r="X83" s="209"/>
      <c r="Y83" s="205"/>
      <c r="Z83" s="203"/>
      <c r="AA83" s="203"/>
      <c r="AB83" s="203"/>
      <c r="AC83" s="203"/>
      <c r="AD83" s="203">
        <f t="shared" si="41"/>
        <v>1.0238828333333334E-4</v>
      </c>
      <c r="AE83" s="203"/>
      <c r="AF83" s="212"/>
    </row>
    <row r="84" spans="2:33" x14ac:dyDescent="0.2">
      <c r="B84" s="202"/>
      <c r="C84" s="203"/>
      <c r="D84" s="203"/>
      <c r="E84" s="203"/>
      <c r="F84" s="204">
        <f>VLOOKUP(G84,soluble_pool!F:H,3,0)</f>
        <v>2.2333333333333339E-4</v>
      </c>
      <c r="G84" s="203" t="s">
        <v>257</v>
      </c>
      <c r="H84" s="203" t="s">
        <v>208</v>
      </c>
      <c r="I84" s="203" t="s">
        <v>25</v>
      </c>
      <c r="J84" s="203" t="s">
        <v>312</v>
      </c>
      <c r="K84" s="203">
        <v>12</v>
      </c>
      <c r="L84" s="203">
        <v>16</v>
      </c>
      <c r="M84" s="203">
        <v>4</v>
      </c>
      <c r="N84" s="206">
        <v>7</v>
      </c>
      <c r="O84" s="206">
        <v>2</v>
      </c>
      <c r="P84" s="206">
        <v>1</v>
      </c>
      <c r="Q84" s="206">
        <f t="shared" si="45"/>
        <v>422.29499999999996</v>
      </c>
      <c r="R84" s="207" t="s">
        <v>135</v>
      </c>
      <c r="S84" s="90">
        <f t="shared" si="43"/>
        <v>422.29499999999996</v>
      </c>
      <c r="T84" s="206"/>
      <c r="U84" s="206"/>
      <c r="V84" s="206"/>
      <c r="W84" s="205"/>
      <c r="X84" s="209"/>
      <c r="Y84" s="205"/>
      <c r="Z84" s="203"/>
      <c r="AA84" s="203"/>
      <c r="AB84" s="203"/>
      <c r="AC84" s="203"/>
      <c r="AD84" s="203">
        <f t="shared" si="41"/>
        <v>9.4312550000000012E-5</v>
      </c>
      <c r="AE84" s="203"/>
      <c r="AF84" s="212"/>
    </row>
    <row r="85" spans="2:33" x14ac:dyDescent="0.2">
      <c r="B85" s="202"/>
      <c r="C85" s="203"/>
      <c r="D85" s="203"/>
      <c r="E85" s="203"/>
      <c r="F85" s="204">
        <f>VLOOKUP(G85,soluble_pool!F:H,3,0)</f>
        <v>2.2333333333333339E-4</v>
      </c>
      <c r="G85" s="203" t="s">
        <v>325</v>
      </c>
      <c r="H85" s="203" t="s">
        <v>208</v>
      </c>
      <c r="I85" s="203" t="s">
        <v>25</v>
      </c>
      <c r="J85" s="203" t="s">
        <v>327</v>
      </c>
      <c r="K85" s="203">
        <v>50</v>
      </c>
      <c r="L85" s="203">
        <v>72</v>
      </c>
      <c r="M85" s="203">
        <v>0</v>
      </c>
      <c r="N85" s="206">
        <v>2</v>
      </c>
      <c r="O85" s="206">
        <v>0</v>
      </c>
      <c r="P85" s="206">
        <v>0</v>
      </c>
      <c r="Q85" s="206">
        <f t="shared" si="45"/>
        <v>705.12400000000002</v>
      </c>
      <c r="R85" s="207" t="s">
        <v>135</v>
      </c>
      <c r="S85" s="90">
        <f>Q85</f>
        <v>705.12400000000002</v>
      </c>
      <c r="T85" s="206"/>
      <c r="U85" s="206"/>
      <c r="V85" s="206"/>
      <c r="W85" s="205"/>
      <c r="X85" s="209"/>
      <c r="Y85" s="205"/>
      <c r="Z85" s="203"/>
      <c r="AA85" s="203"/>
      <c r="AB85" s="203"/>
      <c r="AC85" s="203"/>
      <c r="AD85" s="203">
        <f t="shared" si="41"/>
        <v>1.5747769333333337E-4</v>
      </c>
      <c r="AE85" s="203"/>
      <c r="AF85" s="212"/>
    </row>
    <row r="86" spans="2:33" x14ac:dyDescent="0.2">
      <c r="B86" s="202"/>
      <c r="C86" s="203"/>
      <c r="D86" s="203"/>
      <c r="E86" s="203"/>
      <c r="F86" s="204">
        <f>VLOOKUP(G86,soluble_pool!F:H,3,0)</f>
        <v>2.2333333333333339E-4</v>
      </c>
      <c r="G86" s="203" t="s">
        <v>324</v>
      </c>
      <c r="H86" s="203" t="s">
        <v>208</v>
      </c>
      <c r="I86" s="203" t="s">
        <v>25</v>
      </c>
      <c r="J86" s="203" t="s">
        <v>328</v>
      </c>
      <c r="K86" s="203">
        <v>51</v>
      </c>
      <c r="L86" s="203">
        <v>74</v>
      </c>
      <c r="M86" s="203">
        <v>0</v>
      </c>
      <c r="N86" s="206">
        <v>2</v>
      </c>
      <c r="O86" s="206">
        <v>0</v>
      </c>
      <c r="P86" s="206">
        <v>0</v>
      </c>
      <c r="Q86" s="206">
        <f t="shared" si="45"/>
        <v>719.15099999999995</v>
      </c>
      <c r="R86" s="207" t="s">
        <v>135</v>
      </c>
      <c r="S86" s="90">
        <f>Q86</f>
        <v>719.15099999999995</v>
      </c>
      <c r="T86" s="206"/>
      <c r="U86" s="206"/>
      <c r="V86" s="206"/>
      <c r="W86" s="205"/>
      <c r="X86" s="209"/>
      <c r="Y86" s="205"/>
      <c r="Z86" s="203"/>
      <c r="AA86" s="203"/>
      <c r="AB86" s="203"/>
      <c r="AC86" s="203"/>
      <c r="AD86" s="203">
        <f t="shared" si="41"/>
        <v>1.6061039000000001E-4</v>
      </c>
      <c r="AE86" s="203"/>
      <c r="AF86" s="212"/>
    </row>
    <row r="87" spans="2:33" x14ac:dyDescent="0.2">
      <c r="B87" s="202"/>
      <c r="C87" s="203"/>
      <c r="D87" s="203"/>
      <c r="E87" s="203"/>
      <c r="F87" s="204">
        <f>VLOOKUP(G87,soluble_pool!F:H,3,0)</f>
        <v>2.2333333333333339E-4</v>
      </c>
      <c r="G87" s="203" t="s">
        <v>314</v>
      </c>
      <c r="H87" s="203" t="s">
        <v>208</v>
      </c>
      <c r="I87" s="203" t="s">
        <v>25</v>
      </c>
      <c r="J87" s="203" t="s">
        <v>317</v>
      </c>
      <c r="K87" s="203">
        <v>8</v>
      </c>
      <c r="L87" s="203">
        <v>8</v>
      </c>
      <c r="M87" s="203">
        <v>1</v>
      </c>
      <c r="N87" s="206">
        <v>6</v>
      </c>
      <c r="O87" s="206">
        <v>1</v>
      </c>
      <c r="P87" s="206">
        <v>0</v>
      </c>
      <c r="Q87" s="206">
        <f t="shared" si="45"/>
        <v>245.12699999999998</v>
      </c>
      <c r="R87" s="207" t="s">
        <v>135</v>
      </c>
      <c r="S87" s="90">
        <f t="shared" si="43"/>
        <v>245.12699999999998</v>
      </c>
      <c r="T87" s="206"/>
      <c r="U87" s="206"/>
      <c r="V87" s="206"/>
      <c r="W87" s="205"/>
      <c r="X87" s="209"/>
      <c r="Y87" s="205"/>
      <c r="Z87" s="203"/>
      <c r="AA87" s="203"/>
      <c r="AB87" s="203"/>
      <c r="AC87" s="203"/>
      <c r="AD87" s="203">
        <f t="shared" si="41"/>
        <v>5.4745030000000007E-5</v>
      </c>
      <c r="AE87" s="203"/>
      <c r="AF87" s="212"/>
    </row>
    <row r="88" spans="2:33" x14ac:dyDescent="0.2">
      <c r="B88" s="202"/>
      <c r="C88" s="203"/>
      <c r="D88" s="203"/>
      <c r="E88" s="203"/>
      <c r="F88" s="204">
        <f>VLOOKUP(G88,soluble_pool!F:H,3,0)</f>
        <v>2.2333333333333339E-4</v>
      </c>
      <c r="G88" s="203" t="s">
        <v>250</v>
      </c>
      <c r="H88" s="203" t="s">
        <v>208</v>
      </c>
      <c r="I88" s="203" t="s">
        <v>25</v>
      </c>
      <c r="J88" s="203" t="s">
        <v>255</v>
      </c>
      <c r="K88" s="203">
        <v>49</v>
      </c>
      <c r="L88" s="203">
        <v>56</v>
      </c>
      <c r="M88" s="203">
        <v>4</v>
      </c>
      <c r="N88" s="206">
        <v>5</v>
      </c>
      <c r="O88" s="206">
        <v>0</v>
      </c>
      <c r="P88" s="206">
        <v>0</v>
      </c>
      <c r="Q88" s="206">
        <f>(K88*12.011)+(L88*1.008)+(N88*15.999)+(14.007*M88)+(O88*30.974)+(P88*32.066)+Q55</f>
        <v>836.94489999999996</v>
      </c>
      <c r="R88" s="207" t="s">
        <v>135</v>
      </c>
      <c r="S88" s="90">
        <f t="shared" si="43"/>
        <v>836.94489999999996</v>
      </c>
      <c r="T88" s="206"/>
      <c r="U88" s="206"/>
      <c r="V88" s="206"/>
      <c r="W88" s="205"/>
      <c r="X88" s="209"/>
      <c r="Y88" s="205"/>
      <c r="Z88" s="203"/>
      <c r="AA88" s="203"/>
      <c r="AB88" s="203"/>
      <c r="AC88" s="203"/>
      <c r="AD88" s="203">
        <f t="shared" si="41"/>
        <v>1.8691769433333335E-4</v>
      </c>
      <c r="AE88" s="203"/>
      <c r="AF88" s="212"/>
    </row>
    <row r="89" spans="2:33" x14ac:dyDescent="0.2">
      <c r="B89" s="202"/>
      <c r="C89" s="203"/>
      <c r="D89" s="203"/>
      <c r="E89" s="203"/>
      <c r="F89" s="204">
        <f>VLOOKUP(G89,soluble_pool!F:H,3,0)</f>
        <v>2.2333333333333339E-4</v>
      </c>
      <c r="G89" s="203" t="s">
        <v>343</v>
      </c>
      <c r="H89" s="203" t="s">
        <v>208</v>
      </c>
      <c r="I89" s="203" t="s">
        <v>25</v>
      </c>
      <c r="J89" s="203" t="s">
        <v>336</v>
      </c>
      <c r="K89" s="203">
        <v>39</v>
      </c>
      <c r="L89" s="203">
        <v>30</v>
      </c>
      <c r="M89" s="203">
        <v>4</v>
      </c>
      <c r="N89" s="206">
        <v>5</v>
      </c>
      <c r="O89" s="206">
        <v>0</v>
      </c>
      <c r="P89" s="206">
        <v>0</v>
      </c>
      <c r="Q89" s="206">
        <f>(K89*12.011)+(L89*1.008)+(N89*15.999)+(14.007*M89)+(O89*30.974)+(P89*32.066)+Q55</f>
        <v>690.62689999999998</v>
      </c>
      <c r="R89" s="207" t="s">
        <v>135</v>
      </c>
      <c r="S89" s="90">
        <f>Q89</f>
        <v>690.62689999999998</v>
      </c>
      <c r="T89" s="206"/>
      <c r="U89" s="206"/>
      <c r="V89" s="206"/>
      <c r="W89" s="205"/>
      <c r="X89" s="209"/>
      <c r="Y89" s="205"/>
      <c r="Z89" s="203"/>
      <c r="AA89" s="203"/>
      <c r="AB89" s="203"/>
      <c r="AC89" s="203"/>
      <c r="AD89" s="203">
        <f t="shared" si="41"/>
        <v>1.5424000766666671E-4</v>
      </c>
      <c r="AE89" s="203"/>
      <c r="AF89" s="212"/>
    </row>
    <row r="90" spans="2:33" x14ac:dyDescent="0.2">
      <c r="B90" s="202"/>
      <c r="C90" s="203"/>
      <c r="D90" s="203"/>
      <c r="E90" s="203"/>
      <c r="F90" s="204">
        <f>VLOOKUP(G90,soluble_pool!F:H,3,0)</f>
        <v>2.2333333333333339E-4</v>
      </c>
      <c r="G90" s="203" t="s">
        <v>337</v>
      </c>
      <c r="H90" s="203" t="s">
        <v>208</v>
      </c>
      <c r="I90" s="203" t="s">
        <v>25</v>
      </c>
      <c r="J90" s="203" t="s">
        <v>338</v>
      </c>
      <c r="K90" s="203">
        <v>42</v>
      </c>
      <c r="L90" s="203">
        <v>36</v>
      </c>
      <c r="M90" s="203">
        <v>4</v>
      </c>
      <c r="N90" s="206">
        <v>16</v>
      </c>
      <c r="O90" s="206">
        <v>0</v>
      </c>
      <c r="P90" s="206">
        <v>0</v>
      </c>
      <c r="Q90" s="206">
        <f>(K90*12.011)+(L90*1.008)+(N90*15.999)+(14.007*M90)+(O90*30.974)+(P90*32.066)+Q55</f>
        <v>908.69690000000003</v>
      </c>
      <c r="R90" s="207" t="s">
        <v>135</v>
      </c>
      <c r="S90" s="90">
        <f>Q90</f>
        <v>908.69690000000003</v>
      </c>
      <c r="T90" s="206"/>
      <c r="U90" s="206"/>
      <c r="V90" s="206"/>
      <c r="W90" s="205"/>
      <c r="X90" s="209"/>
      <c r="Y90" s="205"/>
      <c r="Z90" s="203"/>
      <c r="AA90" s="203"/>
      <c r="AB90" s="203"/>
      <c r="AC90" s="203"/>
      <c r="AD90" s="203">
        <f t="shared" si="41"/>
        <v>2.029423076666667E-4</v>
      </c>
      <c r="AE90" s="203"/>
      <c r="AF90" s="212"/>
    </row>
    <row r="91" spans="2:33" x14ac:dyDescent="0.2">
      <c r="B91" s="202"/>
      <c r="C91" s="203"/>
      <c r="D91" s="203"/>
      <c r="E91" s="203"/>
      <c r="F91" s="204">
        <f>VLOOKUP(G91,soluble_pool!F:H,3,0)</f>
        <v>2.2333333333333339E-4</v>
      </c>
      <c r="G91" s="203" t="s">
        <v>253</v>
      </c>
      <c r="H91" s="203" t="s">
        <v>208</v>
      </c>
      <c r="I91" s="203" t="s">
        <v>25</v>
      </c>
      <c r="J91" s="203" t="s">
        <v>256</v>
      </c>
      <c r="K91" s="203">
        <v>72</v>
      </c>
      <c r="L91" s="203">
        <v>100</v>
      </c>
      <c r="M91" s="203">
        <v>18</v>
      </c>
      <c r="N91" s="206">
        <v>17</v>
      </c>
      <c r="O91" s="206">
        <v>1</v>
      </c>
      <c r="P91" s="206">
        <v>0</v>
      </c>
      <c r="Q91" s="206">
        <f>(K91*12.011)+(L91*1.008)+(N91*15.999)+(14.007*M91)+(O91*30.974)+(P91*32.066)+Q62</f>
        <v>1579.6081999999997</v>
      </c>
      <c r="R91" s="207" t="s">
        <v>135</v>
      </c>
      <c r="S91" s="90">
        <f t="shared" si="43"/>
        <v>1579.6081999999997</v>
      </c>
      <c r="T91" s="206"/>
      <c r="U91" s="206"/>
      <c r="V91" s="206"/>
      <c r="W91" s="205"/>
      <c r="X91" s="209"/>
      <c r="Y91" s="205"/>
      <c r="Z91" s="203"/>
      <c r="AA91" s="203"/>
      <c r="AB91" s="203"/>
      <c r="AC91" s="203"/>
      <c r="AD91" s="203">
        <f t="shared" si="41"/>
        <v>3.527791646666667E-4</v>
      </c>
      <c r="AE91" s="203"/>
      <c r="AF91" s="212"/>
    </row>
    <row r="92" spans="2:33" x14ac:dyDescent="0.2">
      <c r="B92" s="202"/>
      <c r="C92" s="203"/>
      <c r="D92" s="203"/>
      <c r="E92" s="203"/>
      <c r="F92" s="204">
        <f>VLOOKUP(G92,soluble_pool!F:H,3,0)</f>
        <v>5.535259603675412E-5</v>
      </c>
      <c r="G92" s="203" t="s">
        <v>282</v>
      </c>
      <c r="H92" s="203" t="s">
        <v>208</v>
      </c>
      <c r="I92" s="203" t="s">
        <v>25</v>
      </c>
      <c r="J92" s="203" t="s">
        <v>292</v>
      </c>
      <c r="K92" s="203">
        <v>55</v>
      </c>
      <c r="L92" s="203">
        <v>89</v>
      </c>
      <c r="M92" s="203">
        <v>0</v>
      </c>
      <c r="N92" s="206">
        <v>7</v>
      </c>
      <c r="O92" s="206">
        <v>2</v>
      </c>
      <c r="P92" s="206">
        <v>0</v>
      </c>
      <c r="Q92" s="206">
        <f t="shared" ref="Q92:Q99" si="46">(K92*12.011)+(L92*1.008)+(N92*15.999)+(14.007*M92)+(O92*30.974)+(P92*32.066)</f>
        <v>924.25799999999992</v>
      </c>
      <c r="R92" s="207" t="s">
        <v>135</v>
      </c>
      <c r="S92" s="90">
        <f t="shared" si="43"/>
        <v>924.25799999999992</v>
      </c>
      <c r="T92" s="206"/>
      <c r="U92" s="206"/>
      <c r="V92" s="206"/>
      <c r="W92" s="205"/>
      <c r="X92" s="209"/>
      <c r="Y92" s="205"/>
      <c r="Z92" s="203"/>
      <c r="AA92" s="203"/>
      <c r="AB92" s="203"/>
      <c r="AC92" s="203"/>
      <c r="AD92" s="203">
        <f t="shared" si="41"/>
        <v>5.1160079707738285E-5</v>
      </c>
      <c r="AE92" s="203"/>
      <c r="AF92" s="212"/>
    </row>
    <row r="93" spans="2:33" x14ac:dyDescent="0.2">
      <c r="B93" s="202"/>
      <c r="C93" s="203"/>
      <c r="D93" s="203"/>
      <c r="E93" s="203"/>
      <c r="F93" s="204">
        <f>VLOOKUP(G93,soluble_pool!F:H,3,0)</f>
        <v>2.2333333333333339E-4</v>
      </c>
      <c r="G93" s="203" t="s">
        <v>300</v>
      </c>
      <c r="H93" s="203" t="s">
        <v>208</v>
      </c>
      <c r="I93" s="203" t="s">
        <v>25</v>
      </c>
      <c r="J93" s="203" t="s">
        <v>301</v>
      </c>
      <c r="K93" s="203">
        <v>20</v>
      </c>
      <c r="L93" s="203">
        <v>21</v>
      </c>
      <c r="M93" s="203">
        <v>7</v>
      </c>
      <c r="N93" s="206">
        <v>7</v>
      </c>
      <c r="O93" s="206">
        <v>0</v>
      </c>
      <c r="P93" s="206">
        <v>0</v>
      </c>
      <c r="Q93" s="206">
        <f t="shared" si="46"/>
        <v>471.42999999999995</v>
      </c>
      <c r="R93" s="207" t="s">
        <v>135</v>
      </c>
      <c r="S93" s="90">
        <f t="shared" si="43"/>
        <v>471.42999999999995</v>
      </c>
      <c r="T93" s="206"/>
      <c r="U93" s="206"/>
      <c r="V93" s="206"/>
      <c r="W93" s="205"/>
      <c r="X93" s="209"/>
      <c r="Y93" s="205"/>
      <c r="Z93" s="203"/>
      <c r="AA93" s="203"/>
      <c r="AB93" s="203"/>
      <c r="AC93" s="203"/>
      <c r="AD93" s="203">
        <f t="shared" si="41"/>
        <v>1.0528603333333335E-4</v>
      </c>
      <c r="AE93" s="203"/>
      <c r="AF93" s="212"/>
    </row>
    <row r="94" spans="2:33" x14ac:dyDescent="0.2">
      <c r="B94" s="202"/>
      <c r="C94" s="203"/>
      <c r="D94" s="203"/>
      <c r="E94" s="203"/>
      <c r="F94" s="204">
        <f>VLOOKUP(G94,soluble_pool!F:H,3,0)</f>
        <v>2.2333333333333339E-4</v>
      </c>
      <c r="G94" s="203" t="s">
        <v>278</v>
      </c>
      <c r="H94" s="203" t="s">
        <v>208</v>
      </c>
      <c r="I94" s="203" t="s">
        <v>25</v>
      </c>
      <c r="J94" s="203" t="s">
        <v>302</v>
      </c>
      <c r="K94" s="203">
        <v>10</v>
      </c>
      <c r="L94" s="203">
        <v>8</v>
      </c>
      <c r="M94" s="203">
        <v>0</v>
      </c>
      <c r="N94" s="206">
        <v>6</v>
      </c>
      <c r="O94" s="206">
        <v>0</v>
      </c>
      <c r="P94" s="206">
        <v>0</v>
      </c>
      <c r="Q94" s="206">
        <f t="shared" si="46"/>
        <v>224.16799999999998</v>
      </c>
      <c r="R94" s="207" t="s">
        <v>135</v>
      </c>
      <c r="S94" s="90">
        <f t="shared" si="43"/>
        <v>224.16799999999998</v>
      </c>
      <c r="T94" s="206"/>
      <c r="U94" s="206"/>
      <c r="V94" s="206"/>
      <c r="W94" s="205"/>
      <c r="X94" s="209"/>
      <c r="Y94" s="205"/>
      <c r="Z94" s="203"/>
      <c r="AA94" s="203"/>
      <c r="AB94" s="203"/>
      <c r="AC94" s="203"/>
      <c r="AD94" s="203">
        <f t="shared" si="41"/>
        <v>5.0064186666666676E-5</v>
      </c>
      <c r="AE94" s="203"/>
      <c r="AF94" s="212"/>
    </row>
    <row r="95" spans="2:33" x14ac:dyDescent="0.2">
      <c r="B95" s="202"/>
      <c r="C95" s="203"/>
      <c r="D95" s="203"/>
      <c r="E95" s="203"/>
      <c r="F95" s="204">
        <f>VLOOKUP(G95,soluble_pool!F:H,3,0)</f>
        <v>2.2333333333333339E-4</v>
      </c>
      <c r="G95" s="203" t="s">
        <v>276</v>
      </c>
      <c r="H95" s="203" t="s">
        <v>208</v>
      </c>
      <c r="I95" s="203" t="s">
        <v>25</v>
      </c>
      <c r="J95" s="203" t="s">
        <v>303</v>
      </c>
      <c r="K95" s="203">
        <v>15</v>
      </c>
      <c r="L95" s="203">
        <v>23</v>
      </c>
      <c r="M95" s="203">
        <v>6</v>
      </c>
      <c r="N95" s="206">
        <v>5</v>
      </c>
      <c r="O95" s="206">
        <v>0</v>
      </c>
      <c r="P95" s="206">
        <v>1</v>
      </c>
      <c r="Q95" s="206">
        <f t="shared" si="46"/>
        <v>399.452</v>
      </c>
      <c r="R95" s="207" t="s">
        <v>135</v>
      </c>
      <c r="S95" s="90">
        <f t="shared" si="43"/>
        <v>399.452</v>
      </c>
      <c r="T95" s="206"/>
      <c r="U95" s="206"/>
      <c r="V95" s="206"/>
      <c r="W95" s="205"/>
      <c r="X95" s="209"/>
      <c r="Y95" s="205"/>
      <c r="Z95" s="203"/>
      <c r="AA95" s="203"/>
      <c r="AB95" s="203"/>
      <c r="AC95" s="203"/>
      <c r="AD95" s="203">
        <f t="shared" si="41"/>
        <v>8.9210946666666696E-5</v>
      </c>
      <c r="AE95" s="203"/>
      <c r="AF95" s="212"/>
    </row>
    <row r="96" spans="2:33" x14ac:dyDescent="0.2">
      <c r="B96" s="202"/>
      <c r="C96" s="203"/>
      <c r="D96" s="203"/>
      <c r="E96" s="203"/>
      <c r="F96" s="204">
        <f>VLOOKUP(G96,soluble_pool!F:H,3,0)</f>
        <v>2.2333333333333339E-4</v>
      </c>
      <c r="G96" s="203" t="s">
        <v>297</v>
      </c>
      <c r="H96" s="203" t="s">
        <v>208</v>
      </c>
      <c r="I96" s="203" t="s">
        <v>25</v>
      </c>
      <c r="J96" s="203" t="s">
        <v>304</v>
      </c>
      <c r="K96" s="203">
        <v>17</v>
      </c>
      <c r="L96" s="203">
        <v>20</v>
      </c>
      <c r="M96" s="203">
        <v>4</v>
      </c>
      <c r="N96" s="206">
        <v>6</v>
      </c>
      <c r="O96" s="206">
        <v>0</v>
      </c>
      <c r="P96" s="206">
        <v>0</v>
      </c>
      <c r="Q96" s="206">
        <f t="shared" si="46"/>
        <v>376.36900000000003</v>
      </c>
      <c r="R96" s="207" t="s">
        <v>135</v>
      </c>
      <c r="S96" s="90">
        <f t="shared" si="43"/>
        <v>376.36900000000003</v>
      </c>
      <c r="T96" s="206"/>
      <c r="U96" s="206"/>
      <c r="V96" s="206"/>
      <c r="W96" s="205"/>
      <c r="X96" s="209"/>
      <c r="Y96" s="205"/>
      <c r="Z96" s="203"/>
      <c r="AA96" s="203"/>
      <c r="AB96" s="203"/>
      <c r="AC96" s="203"/>
      <c r="AD96" s="203">
        <f t="shared" si="41"/>
        <v>8.4055743333333357E-5</v>
      </c>
      <c r="AE96" s="203"/>
      <c r="AF96" s="212"/>
      <c r="AG96" s="31"/>
    </row>
    <row r="97" spans="2:33" x14ac:dyDescent="0.2">
      <c r="B97" s="202"/>
      <c r="C97" s="203"/>
      <c r="D97" s="203"/>
      <c r="E97" s="203"/>
      <c r="F97" s="204">
        <f>VLOOKUP(G97,soluble_pool!F:H,3,0)</f>
        <v>1.9999999999999999E-6</v>
      </c>
      <c r="G97" s="203" t="s">
        <v>423</v>
      </c>
      <c r="H97" s="203" t="s">
        <v>208</v>
      </c>
      <c r="I97" s="203" t="s">
        <v>25</v>
      </c>
      <c r="J97" s="203" t="s">
        <v>425</v>
      </c>
      <c r="K97" s="203">
        <v>10</v>
      </c>
      <c r="L97" s="203">
        <v>15</v>
      </c>
      <c r="M97" s="203">
        <v>2</v>
      </c>
      <c r="N97" s="206">
        <v>3</v>
      </c>
      <c r="O97" s="206">
        <v>0</v>
      </c>
      <c r="P97" s="206">
        <v>1</v>
      </c>
      <c r="Q97" s="206">
        <f t="shared" si="46"/>
        <v>243.30699999999999</v>
      </c>
      <c r="R97" s="207" t="s">
        <v>135</v>
      </c>
      <c r="S97" s="90">
        <f t="shared" si="43"/>
        <v>243.30699999999999</v>
      </c>
      <c r="T97" s="206"/>
      <c r="U97" s="206"/>
      <c r="V97" s="206"/>
      <c r="W97" s="205"/>
      <c r="X97" s="209"/>
      <c r="Y97" s="205"/>
      <c r="Z97" s="203"/>
      <c r="AA97" s="203"/>
      <c r="AB97" s="203"/>
      <c r="AC97" s="203"/>
      <c r="AD97" s="203">
        <f t="shared" si="41"/>
        <v>4.8661399999999999E-7</v>
      </c>
      <c r="AE97" s="203"/>
      <c r="AF97" s="212">
        <f>SUM(AD70:AD97)</f>
        <v>7.8973433789410723E-3</v>
      </c>
      <c r="AG97" s="31"/>
    </row>
    <row r="98" spans="2:33" x14ac:dyDescent="0.2">
      <c r="B98" s="235" t="s">
        <v>108</v>
      </c>
      <c r="C98" s="227"/>
      <c r="D98" s="227"/>
      <c r="E98" s="227">
        <v>1</v>
      </c>
      <c r="F98" s="228">
        <f>F115</f>
        <v>79.2</v>
      </c>
      <c r="G98" s="227" t="s">
        <v>167</v>
      </c>
      <c r="H98" s="227" t="s">
        <v>208</v>
      </c>
      <c r="I98" s="227" t="s">
        <v>45</v>
      </c>
      <c r="J98" s="227" t="s">
        <v>107</v>
      </c>
      <c r="K98" s="227">
        <v>10</v>
      </c>
      <c r="L98" s="227">
        <v>12</v>
      </c>
      <c r="M98" s="227">
        <v>5</v>
      </c>
      <c r="N98" s="227">
        <v>13</v>
      </c>
      <c r="O98" s="227">
        <v>3</v>
      </c>
      <c r="P98" s="236">
        <v>0</v>
      </c>
      <c r="Q98" s="236">
        <f t="shared" si="46"/>
        <v>503.15</v>
      </c>
      <c r="R98" s="237"/>
      <c r="S98" s="236"/>
      <c r="T98" s="236"/>
      <c r="U98" s="236"/>
      <c r="V98" s="236"/>
      <c r="W98" s="238"/>
      <c r="X98" s="231"/>
      <c r="Y98" s="238"/>
      <c r="Z98" s="227"/>
      <c r="AA98" s="227"/>
      <c r="AB98" s="227"/>
      <c r="AC98" s="227"/>
      <c r="AD98" s="227">
        <f t="shared" si="41"/>
        <v>39.84948</v>
      </c>
      <c r="AE98" s="227"/>
      <c r="AF98" s="239"/>
    </row>
    <row r="99" spans="2:33" x14ac:dyDescent="0.2">
      <c r="B99" s="235" t="s">
        <v>108</v>
      </c>
      <c r="C99" s="227"/>
      <c r="D99" s="227"/>
      <c r="E99" s="227">
        <v>1</v>
      </c>
      <c r="F99" s="228">
        <f>F115</f>
        <v>79.2</v>
      </c>
      <c r="G99" s="227" t="s">
        <v>168</v>
      </c>
      <c r="H99" s="227" t="s">
        <v>208</v>
      </c>
      <c r="I99" s="227" t="s">
        <v>45</v>
      </c>
      <c r="J99" s="227" t="s">
        <v>79</v>
      </c>
      <c r="K99" s="227">
        <v>0</v>
      </c>
      <c r="L99" s="227">
        <v>2</v>
      </c>
      <c r="M99" s="227">
        <v>0</v>
      </c>
      <c r="N99" s="236">
        <v>1</v>
      </c>
      <c r="O99" s="236">
        <v>0</v>
      </c>
      <c r="P99" s="236">
        <v>0</v>
      </c>
      <c r="Q99" s="236">
        <f t="shared" si="46"/>
        <v>18.015000000000001</v>
      </c>
      <c r="R99" s="237"/>
      <c r="S99" s="236"/>
      <c r="T99" s="236"/>
      <c r="U99" s="236"/>
      <c r="V99" s="236"/>
      <c r="W99" s="238"/>
      <c r="X99" s="231"/>
      <c r="Y99" s="238"/>
      <c r="Z99" s="227"/>
      <c r="AA99" s="227"/>
      <c r="AB99" s="227"/>
      <c r="AC99" s="227"/>
      <c r="AD99" s="227">
        <f t="shared" si="41"/>
        <v>1.4267879999999999</v>
      </c>
      <c r="AE99" s="227"/>
      <c r="AF99" s="239"/>
    </row>
    <row r="100" spans="2:33" x14ac:dyDescent="0.2">
      <c r="B100" s="240" t="s">
        <v>330</v>
      </c>
      <c r="C100" s="213"/>
      <c r="D100" s="213"/>
      <c r="E100" s="213"/>
      <c r="F100" s="214">
        <f>F98+F31</f>
        <v>79.2987474143127</v>
      </c>
      <c r="G100" s="213" t="s">
        <v>167</v>
      </c>
      <c r="H100" s="242" t="s">
        <v>208</v>
      </c>
      <c r="I100" s="213"/>
      <c r="J100" s="213"/>
      <c r="K100" s="213"/>
      <c r="L100" s="213"/>
      <c r="M100" s="213"/>
      <c r="N100" s="215"/>
      <c r="O100" s="215"/>
      <c r="P100" s="215"/>
      <c r="Q100" s="215"/>
      <c r="R100" s="216"/>
      <c r="S100" s="215"/>
      <c r="T100" s="215"/>
      <c r="U100" s="215"/>
      <c r="V100" s="215"/>
      <c r="W100" s="242"/>
      <c r="X100" s="241"/>
      <c r="Y100" s="242"/>
      <c r="Z100" s="213"/>
      <c r="AA100" s="213"/>
      <c r="AB100" s="213"/>
      <c r="AC100" s="213"/>
      <c r="AD100" s="213"/>
      <c r="AE100" s="213"/>
      <c r="AF100" s="243"/>
    </row>
    <row r="101" spans="2:33" x14ac:dyDescent="0.2">
      <c r="B101" s="240" t="s">
        <v>170</v>
      </c>
      <c r="C101" s="213"/>
      <c r="D101" s="213"/>
      <c r="E101" s="213"/>
      <c r="F101" s="214">
        <f>F99-F109</f>
        <v>74.030609430681181</v>
      </c>
      <c r="G101" s="213" t="s">
        <v>168</v>
      </c>
      <c r="H101" s="242" t="s">
        <v>208</v>
      </c>
      <c r="I101" s="213"/>
      <c r="J101" s="213"/>
      <c r="K101" s="213"/>
      <c r="L101" s="213"/>
      <c r="M101" s="213"/>
      <c r="N101" s="215"/>
      <c r="O101" s="215"/>
      <c r="P101" s="215"/>
      <c r="Q101" s="215"/>
      <c r="R101" s="216"/>
      <c r="S101" s="215"/>
      <c r="T101" s="215"/>
      <c r="U101" s="215"/>
      <c r="V101" s="215"/>
      <c r="W101" s="242"/>
      <c r="X101" s="241"/>
      <c r="Y101" s="242"/>
      <c r="Z101" s="213"/>
      <c r="AA101" s="213"/>
      <c r="AB101" s="213"/>
      <c r="AC101" s="213"/>
      <c r="AD101" s="213"/>
      <c r="AE101" s="213"/>
      <c r="AF101" s="243"/>
    </row>
    <row r="102" spans="2:33" s="15" customFormat="1" x14ac:dyDescent="0.2">
      <c r="B102" s="244"/>
      <c r="F102" s="20"/>
      <c r="N102" s="16"/>
      <c r="O102" s="16"/>
      <c r="P102" s="16"/>
      <c r="Q102" s="16"/>
      <c r="R102" s="17"/>
      <c r="S102" s="16"/>
      <c r="T102" s="16"/>
      <c r="U102" s="16"/>
      <c r="V102" s="16"/>
      <c r="W102" s="19"/>
      <c r="X102" s="18"/>
      <c r="Y102" s="19"/>
      <c r="AF102" s="245"/>
    </row>
    <row r="103" spans="2:33" x14ac:dyDescent="0.2">
      <c r="B103" s="269" t="s">
        <v>352</v>
      </c>
      <c r="C103" s="15"/>
      <c r="D103" s="15"/>
      <c r="E103" s="15"/>
      <c r="F103" s="20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246"/>
      <c r="S103" s="15"/>
      <c r="T103" s="15"/>
      <c r="U103" s="15"/>
      <c r="V103" s="15"/>
      <c r="W103" s="19"/>
      <c r="X103" s="18"/>
      <c r="Y103" s="15"/>
      <c r="Z103" s="15"/>
      <c r="AA103" s="15"/>
      <c r="AB103" s="15"/>
      <c r="AC103" s="15"/>
      <c r="AD103" s="15"/>
      <c r="AE103" s="15"/>
      <c r="AF103" s="245"/>
    </row>
    <row r="104" spans="2:33" x14ac:dyDescent="0.2">
      <c r="B104" s="235" t="s">
        <v>108</v>
      </c>
      <c r="C104" s="227"/>
      <c r="D104" s="227"/>
      <c r="E104" s="227">
        <v>1</v>
      </c>
      <c r="F104" s="228">
        <f>F115</f>
        <v>79.2</v>
      </c>
      <c r="G104" s="227" t="s">
        <v>329</v>
      </c>
      <c r="H104" s="227" t="s">
        <v>208</v>
      </c>
      <c r="I104" s="227" t="s">
        <v>45</v>
      </c>
      <c r="J104" s="227" t="s">
        <v>63</v>
      </c>
      <c r="K104" s="227">
        <v>10</v>
      </c>
      <c r="L104" s="227">
        <v>12</v>
      </c>
      <c r="M104" s="227">
        <v>5</v>
      </c>
      <c r="N104" s="227">
        <v>10</v>
      </c>
      <c r="O104" s="227">
        <v>2</v>
      </c>
      <c r="P104" s="227">
        <v>0</v>
      </c>
      <c r="Q104" s="227">
        <f t="shared" ref="Q104:Q109" si="47">(K104*12.011)+(L104*1.008)+(N104*15.999)+(14.007*M104)+(O104*30.974)+(P104*32.066)</f>
        <v>424.17899999999997</v>
      </c>
      <c r="R104" s="229"/>
      <c r="S104" s="227"/>
      <c r="T104" s="227"/>
      <c r="U104" s="227"/>
      <c r="V104" s="227"/>
      <c r="W104" s="238"/>
      <c r="X104" s="231"/>
      <c r="Y104" s="238"/>
      <c r="Z104" s="227"/>
      <c r="AA104" s="227"/>
      <c r="AB104" s="227"/>
      <c r="AC104" s="227"/>
      <c r="AD104" s="227">
        <f t="shared" ref="AD104:AD109" si="48">(F104*Q104)/1000</f>
        <v>33.594976799999998</v>
      </c>
      <c r="AE104" s="227"/>
      <c r="AF104" s="239"/>
    </row>
    <row r="105" spans="2:33" x14ac:dyDescent="0.2">
      <c r="B105" s="235" t="s">
        <v>108</v>
      </c>
      <c r="C105" s="227"/>
      <c r="D105" s="227"/>
      <c r="E105" s="227">
        <v>1</v>
      </c>
      <c r="F105" s="228">
        <f>F115</f>
        <v>79.2</v>
      </c>
      <c r="G105" s="227" t="s">
        <v>46</v>
      </c>
      <c r="H105" s="227" t="s">
        <v>208</v>
      </c>
      <c r="I105" s="227" t="s">
        <v>45</v>
      </c>
      <c r="J105" s="227" t="s">
        <v>51</v>
      </c>
      <c r="K105" s="227">
        <v>0</v>
      </c>
      <c r="L105" s="227">
        <v>1</v>
      </c>
      <c r="M105" s="227">
        <v>0</v>
      </c>
      <c r="N105" s="227">
        <v>0</v>
      </c>
      <c r="O105" s="227">
        <v>0</v>
      </c>
      <c r="P105" s="227">
        <v>0</v>
      </c>
      <c r="Q105" s="227">
        <f t="shared" si="47"/>
        <v>1.008</v>
      </c>
      <c r="R105" s="229"/>
      <c r="S105" s="227"/>
      <c r="T105" s="227"/>
      <c r="U105" s="227"/>
      <c r="V105" s="227"/>
      <c r="W105" s="238"/>
      <c r="X105" s="231"/>
      <c r="Y105" s="238"/>
      <c r="Z105" s="227"/>
      <c r="AA105" s="227"/>
      <c r="AB105" s="227"/>
      <c r="AC105" s="227"/>
      <c r="AD105" s="227">
        <f t="shared" si="48"/>
        <v>7.9833600000000005E-2</v>
      </c>
      <c r="AE105" s="227"/>
      <c r="AF105" s="239"/>
    </row>
    <row r="106" spans="2:33" x14ac:dyDescent="0.2">
      <c r="B106" s="235" t="s">
        <v>108</v>
      </c>
      <c r="C106" s="227"/>
      <c r="D106" s="227"/>
      <c r="E106" s="227">
        <v>1</v>
      </c>
      <c r="F106" s="228">
        <f>F115</f>
        <v>79.2</v>
      </c>
      <c r="G106" s="227" t="s">
        <v>212</v>
      </c>
      <c r="H106" s="227" t="s">
        <v>208</v>
      </c>
      <c r="I106" s="227" t="s">
        <v>45</v>
      </c>
      <c r="J106" s="227" t="s">
        <v>89</v>
      </c>
      <c r="K106" s="227">
        <v>0</v>
      </c>
      <c r="L106" s="227">
        <v>1</v>
      </c>
      <c r="M106" s="227">
        <v>0</v>
      </c>
      <c r="N106" s="227">
        <v>4</v>
      </c>
      <c r="O106" s="227">
        <v>1</v>
      </c>
      <c r="P106" s="227">
        <v>0</v>
      </c>
      <c r="Q106" s="227">
        <f t="shared" si="47"/>
        <v>95.978000000000009</v>
      </c>
      <c r="R106" s="229"/>
      <c r="S106" s="227"/>
      <c r="T106" s="227"/>
      <c r="U106" s="227"/>
      <c r="V106" s="227"/>
      <c r="W106" s="238"/>
      <c r="X106" s="231"/>
      <c r="Y106" s="238"/>
      <c r="Z106" s="227"/>
      <c r="AA106" s="227"/>
      <c r="AB106" s="227"/>
      <c r="AC106" s="227"/>
      <c r="AD106" s="227">
        <f t="shared" si="48"/>
        <v>7.6014576000000007</v>
      </c>
      <c r="AE106" s="227"/>
      <c r="AF106" s="239"/>
    </row>
    <row r="107" spans="2:33" x14ac:dyDescent="0.2">
      <c r="B107" s="247" t="s">
        <v>173</v>
      </c>
      <c r="C107" s="175"/>
      <c r="D107" s="175"/>
      <c r="E107" s="175"/>
      <c r="F107" s="182">
        <f>Z27</f>
        <v>0.15940720009582546</v>
      </c>
      <c r="G107" s="175" t="s">
        <v>172</v>
      </c>
      <c r="H107" s="175" t="s">
        <v>208</v>
      </c>
      <c r="I107" s="175" t="s">
        <v>173</v>
      </c>
      <c r="J107" s="175" t="s">
        <v>90</v>
      </c>
      <c r="K107" s="175">
        <v>0</v>
      </c>
      <c r="L107" s="175">
        <v>1</v>
      </c>
      <c r="M107" s="175">
        <v>0</v>
      </c>
      <c r="N107" s="175">
        <v>7</v>
      </c>
      <c r="O107" s="175">
        <v>2</v>
      </c>
      <c r="P107" s="175">
        <v>0</v>
      </c>
      <c r="Q107" s="175">
        <f t="shared" si="47"/>
        <v>174.94900000000001</v>
      </c>
      <c r="R107" s="88"/>
      <c r="S107" s="175"/>
      <c r="T107" s="175"/>
      <c r="U107" s="175"/>
      <c r="V107" s="175"/>
      <c r="W107" s="180"/>
      <c r="X107" s="176"/>
      <c r="Y107" s="180"/>
      <c r="Z107" s="175"/>
      <c r="AA107" s="175"/>
      <c r="AB107" s="175"/>
      <c r="AC107" s="175"/>
      <c r="AD107" s="175">
        <f t="shared" si="48"/>
        <v>2.7888130249564567E-2</v>
      </c>
      <c r="AE107" s="175"/>
      <c r="AF107" s="184"/>
    </row>
    <row r="108" spans="2:33" x14ac:dyDescent="0.2">
      <c r="B108" s="188" t="s">
        <v>174</v>
      </c>
      <c r="C108" s="189"/>
      <c r="D108" s="189"/>
      <c r="E108" s="189"/>
      <c r="F108" s="196">
        <f>Z31</f>
        <v>0.37703558192118608</v>
      </c>
      <c r="G108" s="189" t="s">
        <v>172</v>
      </c>
      <c r="H108" s="189" t="s">
        <v>208</v>
      </c>
      <c r="I108" s="189" t="s">
        <v>174</v>
      </c>
      <c r="J108" s="189" t="s">
        <v>90</v>
      </c>
      <c r="K108" s="189">
        <v>0</v>
      </c>
      <c r="L108" s="189">
        <v>1</v>
      </c>
      <c r="M108" s="189">
        <v>0</v>
      </c>
      <c r="N108" s="189">
        <v>7</v>
      </c>
      <c r="O108" s="189">
        <v>2</v>
      </c>
      <c r="P108" s="189">
        <v>0</v>
      </c>
      <c r="Q108" s="189">
        <f>(K108*12.011)+(L108*1.008)+(N108*15.999)+(14.007*M108)+(O108*30.974)+(P108*32.066)</f>
        <v>174.94900000000001</v>
      </c>
      <c r="R108" s="248"/>
      <c r="S108" s="189"/>
      <c r="T108" s="189"/>
      <c r="U108" s="189"/>
      <c r="V108" s="189"/>
      <c r="W108" s="194"/>
      <c r="X108" s="190"/>
      <c r="Y108" s="194"/>
      <c r="Z108" s="189"/>
      <c r="AA108" s="189"/>
      <c r="AB108" s="189"/>
      <c r="AC108" s="189"/>
      <c r="AD108" s="189">
        <f t="shared" si="48"/>
        <v>6.5961998021529578E-2</v>
      </c>
      <c r="AE108" s="189"/>
      <c r="AF108" s="198"/>
    </row>
    <row r="109" spans="2:33" x14ac:dyDescent="0.2">
      <c r="B109" s="162" t="s">
        <v>109</v>
      </c>
      <c r="C109" s="163"/>
      <c r="D109" s="163"/>
      <c r="E109" s="163"/>
      <c r="F109" s="270">
        <f>SUM(X4:X23)</f>
        <v>5.169390569318816</v>
      </c>
      <c r="G109" s="163" t="s">
        <v>168</v>
      </c>
      <c r="H109" s="163" t="s">
        <v>208</v>
      </c>
      <c r="I109" s="163" t="s">
        <v>109</v>
      </c>
      <c r="J109" s="163" t="s">
        <v>79</v>
      </c>
      <c r="K109" s="163">
        <v>0</v>
      </c>
      <c r="L109" s="163">
        <v>2</v>
      </c>
      <c r="M109" s="163">
        <v>0</v>
      </c>
      <c r="N109" s="249">
        <v>1</v>
      </c>
      <c r="O109" s="249">
        <v>0</v>
      </c>
      <c r="P109" s="249">
        <v>0</v>
      </c>
      <c r="Q109" s="249">
        <f t="shared" si="47"/>
        <v>18.015000000000001</v>
      </c>
      <c r="R109" s="250"/>
      <c r="S109" s="249"/>
      <c r="T109" s="249"/>
      <c r="U109" s="249"/>
      <c r="V109" s="249"/>
      <c r="W109" s="166"/>
      <c r="X109" s="164"/>
      <c r="Y109" s="166"/>
      <c r="Z109" s="163"/>
      <c r="AA109" s="163"/>
      <c r="AB109" s="163"/>
      <c r="AC109" s="163"/>
      <c r="AD109" s="163">
        <f t="shared" si="48"/>
        <v>9.3126571106278477E-2</v>
      </c>
      <c r="AE109" s="163"/>
      <c r="AF109" s="169"/>
    </row>
    <row r="110" spans="2:33" x14ac:dyDescent="0.2">
      <c r="B110" s="240" t="s">
        <v>171</v>
      </c>
      <c r="C110" s="213"/>
      <c r="D110" s="213"/>
      <c r="E110" s="213"/>
      <c r="F110" s="214">
        <f>F108+F107</f>
        <v>0.53644278201701157</v>
      </c>
      <c r="G110" s="213" t="s">
        <v>172</v>
      </c>
      <c r="H110" s="213" t="s">
        <v>208</v>
      </c>
      <c r="I110" s="213" t="s">
        <v>48</v>
      </c>
      <c r="J110" s="213" t="s">
        <v>89</v>
      </c>
      <c r="K110" s="213">
        <v>0</v>
      </c>
      <c r="L110" s="213">
        <v>1</v>
      </c>
      <c r="M110" s="213">
        <v>0</v>
      </c>
      <c r="N110" s="213">
        <v>4</v>
      </c>
      <c r="O110" s="213">
        <v>1</v>
      </c>
      <c r="P110" s="213">
        <v>0</v>
      </c>
      <c r="Q110" s="213">
        <f>(K110*12.011)+(L110*1.008)+(N110*15.999)+(14.007*M110)+(O110*30.974)+(P110*32.066)</f>
        <v>95.978000000000009</v>
      </c>
      <c r="R110" s="251"/>
      <c r="S110" s="213"/>
      <c r="T110" s="213"/>
      <c r="U110" s="213"/>
      <c r="V110" s="213"/>
      <c r="W110" s="242"/>
      <c r="X110" s="241"/>
      <c r="Y110" s="242"/>
      <c r="Z110" s="213"/>
      <c r="AA110" s="213"/>
      <c r="AB110" s="213"/>
      <c r="AC110" s="213"/>
      <c r="AD110" s="213"/>
      <c r="AE110" s="213"/>
      <c r="AF110" s="243"/>
    </row>
    <row r="111" spans="2:33" ht="13.5" thickBot="1" x14ac:dyDescent="0.25">
      <c r="B111" s="252" t="s">
        <v>331</v>
      </c>
      <c r="C111" s="253"/>
      <c r="D111" s="253"/>
      <c r="E111" s="253"/>
      <c r="F111" s="254">
        <f>F106-F65</f>
        <v>79.19587129736405</v>
      </c>
      <c r="G111" s="253" t="s">
        <v>212</v>
      </c>
      <c r="H111" s="253" t="s">
        <v>208</v>
      </c>
      <c r="I111" s="253" t="s">
        <v>176</v>
      </c>
      <c r="J111" s="253" t="s">
        <v>89</v>
      </c>
      <c r="K111" s="253">
        <v>0</v>
      </c>
      <c r="L111" s="253">
        <v>1</v>
      </c>
      <c r="M111" s="253">
        <v>0</v>
      </c>
      <c r="N111" s="253">
        <v>4</v>
      </c>
      <c r="O111" s="253">
        <v>1</v>
      </c>
      <c r="P111" s="253">
        <v>0</v>
      </c>
      <c r="Q111" s="253">
        <v>95.978000000000009</v>
      </c>
      <c r="R111" s="255"/>
      <c r="S111" s="253"/>
      <c r="T111" s="253"/>
      <c r="U111" s="253"/>
      <c r="V111" s="253"/>
      <c r="W111" s="256"/>
      <c r="X111" s="257"/>
      <c r="Y111" s="256"/>
      <c r="Z111" s="253"/>
      <c r="AA111" s="253"/>
      <c r="AB111" s="253"/>
      <c r="AC111" s="253"/>
      <c r="AD111" s="253"/>
      <c r="AE111" s="253"/>
      <c r="AF111" s="258"/>
    </row>
    <row r="113" spans="2:32" ht="13.5" thickBot="1" x14ac:dyDescent="0.25">
      <c r="G113" s="4"/>
    </row>
    <row r="114" spans="2:32" x14ac:dyDescent="0.2">
      <c r="E114" s="259" t="s">
        <v>387</v>
      </c>
      <c r="F114" s="264"/>
    </row>
    <row r="115" spans="2:32" x14ac:dyDescent="0.2">
      <c r="E115" s="260" t="s">
        <v>348</v>
      </c>
      <c r="F115" s="261">
        <v>79.2</v>
      </c>
      <c r="G115" s="4"/>
      <c r="H115" s="4"/>
      <c r="I115" s="4"/>
      <c r="AF115" s="23"/>
    </row>
    <row r="116" spans="2:32" x14ac:dyDescent="0.2">
      <c r="E116" s="85" t="s">
        <v>350</v>
      </c>
      <c r="F116" s="261">
        <f>maintenance!G9</f>
        <v>22.723038468684685</v>
      </c>
      <c r="G116" s="4"/>
      <c r="H116" s="4"/>
      <c r="I116" s="4"/>
    </row>
    <row r="117" spans="2:32" ht="13.5" thickBot="1" x14ac:dyDescent="0.25">
      <c r="E117" s="262" t="s">
        <v>351</v>
      </c>
      <c r="F117" s="263">
        <f>F115-F116</f>
        <v>56.476961531315318</v>
      </c>
      <c r="G117" s="2"/>
      <c r="H117" s="4"/>
      <c r="I117" s="4"/>
    </row>
    <row r="118" spans="2:32" x14ac:dyDescent="0.2">
      <c r="G118" s="4"/>
    </row>
    <row r="119" spans="2:32" x14ac:dyDescent="0.2">
      <c r="B119" s="285"/>
      <c r="G119" s="4"/>
    </row>
    <row r="120" spans="2:32" x14ac:dyDescent="0.2">
      <c r="B120" s="26"/>
      <c r="C120" s="26"/>
      <c r="G120" s="4"/>
    </row>
    <row r="121" spans="2:32" x14ac:dyDescent="0.2">
      <c r="C121" s="286"/>
      <c r="G121" s="4"/>
    </row>
    <row r="125" spans="2:32" x14ac:dyDescent="0.2">
      <c r="G125" s="4"/>
    </row>
    <row r="126" spans="2:32" x14ac:dyDescent="0.2">
      <c r="G126" s="4"/>
    </row>
    <row r="127" spans="2:32" x14ac:dyDescent="0.2">
      <c r="C127" s="286"/>
      <c r="G127" s="4"/>
    </row>
  </sheetData>
  <phoneticPr fontId="3" type="noConversion"/>
  <pageMargins left="0.75" right="0.75" top="0.72" bottom="0.47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9"/>
  <sheetViews>
    <sheetView zoomScale="80" zoomScaleNormal="80" workbookViewId="0">
      <pane ySplit="2" topLeftCell="A3" activePane="bottomLeft" state="frozenSplit"/>
      <selection pane="bottomLeft"/>
    </sheetView>
  </sheetViews>
  <sheetFormatPr defaultRowHeight="12.75" x14ac:dyDescent="0.2"/>
  <cols>
    <col min="1" max="1" width="6.42578125" style="4" customWidth="1"/>
    <col min="2" max="2" width="11.42578125" customWidth="1"/>
    <col min="3" max="3" width="8.42578125" bestFit="1" customWidth="1"/>
    <col min="4" max="4" width="10.28515625" bestFit="1" customWidth="1"/>
    <col min="5" max="5" width="14.28515625" customWidth="1"/>
    <col min="6" max="6" width="11.85546875" style="21" customWidth="1"/>
    <col min="7" max="7" width="14.42578125" customWidth="1"/>
    <col min="8" max="8" width="19.5703125" bestFit="1" customWidth="1"/>
    <col min="9" max="9" width="21.85546875" bestFit="1" customWidth="1"/>
    <col min="10" max="10" width="23" customWidth="1"/>
    <col min="17" max="17" width="14" customWidth="1"/>
    <col min="18" max="18" width="18.7109375" style="6" customWidth="1"/>
    <col min="19" max="19" width="9.7109375" customWidth="1"/>
    <col min="20" max="20" width="13.28515625" customWidth="1"/>
    <col min="21" max="21" width="10.7109375" customWidth="1"/>
    <col min="22" max="22" width="13.140625" customWidth="1"/>
    <col min="23" max="23" width="13.140625" style="7" customWidth="1"/>
    <col min="24" max="24" width="10.7109375" style="7" customWidth="1"/>
    <col min="27" max="27" width="12.42578125" bestFit="1" customWidth="1"/>
    <col min="32" max="32" width="9.85546875" customWidth="1"/>
    <col min="33" max="33" width="9.140625" style="4"/>
    <col min="34" max="34" width="10.28515625" style="4" customWidth="1"/>
    <col min="35" max="35" width="10" style="4" bestFit="1" customWidth="1"/>
    <col min="36" max="16384" width="9.140625" style="4"/>
  </cols>
  <sheetData>
    <row r="1" spans="1:38" ht="13.5" thickBot="1" x14ac:dyDescent="0.25">
      <c r="A1" s="27" t="s">
        <v>533</v>
      </c>
    </row>
    <row r="2" spans="1:38" s="28" customFormat="1" ht="38.25" x14ac:dyDescent="0.2">
      <c r="B2" s="150" t="s">
        <v>290</v>
      </c>
      <c r="C2" s="151" t="s">
        <v>147</v>
      </c>
      <c r="D2" s="151" t="s">
        <v>115</v>
      </c>
      <c r="E2" s="151" t="s">
        <v>116</v>
      </c>
      <c r="F2" s="152" t="s">
        <v>169</v>
      </c>
      <c r="G2" s="151" t="s">
        <v>59</v>
      </c>
      <c r="H2" s="151" t="s">
        <v>207</v>
      </c>
      <c r="I2" s="151" t="s">
        <v>60</v>
      </c>
      <c r="J2" s="151" t="s">
        <v>61</v>
      </c>
      <c r="K2" s="151" t="s">
        <v>50</v>
      </c>
      <c r="L2" s="151" t="s">
        <v>51</v>
      </c>
      <c r="M2" s="151" t="s">
        <v>52</v>
      </c>
      <c r="N2" s="151" t="s">
        <v>53</v>
      </c>
      <c r="O2" s="151" t="s">
        <v>54</v>
      </c>
      <c r="P2" s="151" t="s">
        <v>101</v>
      </c>
      <c r="Q2" s="151" t="s">
        <v>129</v>
      </c>
      <c r="R2" s="151" t="s">
        <v>131</v>
      </c>
      <c r="S2" s="151" t="s">
        <v>132</v>
      </c>
      <c r="T2" s="151" t="s">
        <v>133</v>
      </c>
      <c r="U2" s="151" t="s">
        <v>130</v>
      </c>
      <c r="V2" s="151" t="s">
        <v>134</v>
      </c>
      <c r="W2" s="153" t="s">
        <v>57</v>
      </c>
      <c r="X2" s="153" t="s">
        <v>56</v>
      </c>
      <c r="Y2" s="154"/>
      <c r="Z2" s="154" t="s">
        <v>260</v>
      </c>
      <c r="AA2" s="154" t="s">
        <v>117</v>
      </c>
      <c r="AB2" s="151" t="s">
        <v>118</v>
      </c>
      <c r="AC2" s="151"/>
      <c r="AD2" s="151" t="s">
        <v>57</v>
      </c>
      <c r="AE2" s="151" t="s">
        <v>57</v>
      </c>
      <c r="AF2" s="155" t="s">
        <v>57</v>
      </c>
      <c r="AH2" s="148" t="s">
        <v>238</v>
      </c>
    </row>
    <row r="3" spans="1:38" s="28" customFormat="1" x14ac:dyDescent="0.2">
      <c r="B3" s="156" t="s">
        <v>404</v>
      </c>
      <c r="C3" s="157"/>
      <c r="D3" s="157"/>
      <c r="E3" s="157"/>
      <c r="F3" s="158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9"/>
      <c r="X3" s="159"/>
      <c r="Y3" s="160"/>
      <c r="Z3" s="160"/>
      <c r="AA3" s="160"/>
      <c r="AB3" s="157"/>
      <c r="AC3" s="157"/>
      <c r="AD3" s="157"/>
      <c r="AE3" s="157"/>
      <c r="AF3" s="161"/>
      <c r="AH3" s="284" t="s">
        <v>355</v>
      </c>
      <c r="AI3" t="s">
        <v>358</v>
      </c>
    </row>
    <row r="4" spans="1:38" x14ac:dyDescent="0.2">
      <c r="B4" s="162" t="s">
        <v>400</v>
      </c>
      <c r="C4" s="163" t="s">
        <v>102</v>
      </c>
      <c r="D4" s="368">
        <v>0.57999999999999996</v>
      </c>
      <c r="E4" s="344">
        <v>9.6044085809879928E-2</v>
      </c>
      <c r="F4" s="165">
        <f t="shared" ref="F4:F52" si="0">X4</f>
        <v>0.51422115540388469</v>
      </c>
      <c r="G4" s="166" t="s">
        <v>0</v>
      </c>
      <c r="H4" s="166" t="s">
        <v>208</v>
      </c>
      <c r="I4" s="166" t="s">
        <v>1</v>
      </c>
      <c r="J4" s="166" t="s">
        <v>64</v>
      </c>
      <c r="K4" s="166">
        <v>3</v>
      </c>
      <c r="L4" s="166">
        <v>7</v>
      </c>
      <c r="M4" s="166">
        <v>1</v>
      </c>
      <c r="N4" s="166">
        <v>2</v>
      </c>
      <c r="O4" s="166">
        <v>0</v>
      </c>
      <c r="P4" s="166">
        <v>0</v>
      </c>
      <c r="Q4" s="166">
        <f t="shared" ref="Q4:Q32" si="1">(K4*12.011)+(L4*1.008)+(N4*15.999)+(14.007*M4)+(O4*30.974)+(P4*32.066)</f>
        <v>89.094000000000008</v>
      </c>
      <c r="R4" s="167" t="s">
        <v>44</v>
      </c>
      <c r="S4" s="166">
        <f t="shared" ref="S4:S23" si="2">Q4-$Q$81</f>
        <v>71.079000000000008</v>
      </c>
      <c r="T4" s="166">
        <f t="shared" ref="T4:T35" si="3">E4*S4</f>
        <v>6.8267175752804565</v>
      </c>
      <c r="U4" s="163">
        <f>SUM(T4:T23)</f>
        <v>108.32998445187955</v>
      </c>
      <c r="V4" s="163">
        <f t="shared" ref="V4:V23" si="4">T4/$U$4</f>
        <v>6.301780259474607E-2</v>
      </c>
      <c r="W4" s="168">
        <f>V4*$D$4</f>
        <v>3.655032550495272E-2</v>
      </c>
      <c r="X4" s="164">
        <f t="shared" ref="X4:X32" si="5">W4/S4*1000</f>
        <v>0.51422115540388469</v>
      </c>
      <c r="Y4" s="166"/>
      <c r="Z4" s="163"/>
      <c r="AA4" s="163"/>
      <c r="AB4" s="163"/>
      <c r="AC4" s="163"/>
      <c r="AD4" s="163">
        <f t="shared" ref="AD4:AD35" si="6">(F4*Q4)/1000</f>
        <v>4.5814019619553704E-2</v>
      </c>
      <c r="AE4" s="163"/>
      <c r="AF4" s="169"/>
    </row>
    <row r="5" spans="1:38" x14ac:dyDescent="0.2">
      <c r="B5" s="162" t="s">
        <v>400</v>
      </c>
      <c r="C5" s="163"/>
      <c r="D5" s="271"/>
      <c r="E5" s="344">
        <v>5.530407400118087E-2</v>
      </c>
      <c r="F5" s="165">
        <f t="shared" si="0"/>
        <v>0.29609865710756478</v>
      </c>
      <c r="G5" s="166" t="s">
        <v>2</v>
      </c>
      <c r="H5" s="166" t="s">
        <v>208</v>
      </c>
      <c r="I5" s="166" t="s">
        <v>1</v>
      </c>
      <c r="J5" s="166" t="s">
        <v>65</v>
      </c>
      <c r="K5" s="166">
        <v>6</v>
      </c>
      <c r="L5" s="166">
        <v>15</v>
      </c>
      <c r="M5" s="166">
        <v>4</v>
      </c>
      <c r="N5" s="166">
        <v>2</v>
      </c>
      <c r="O5" s="166">
        <v>0</v>
      </c>
      <c r="P5" s="166">
        <v>0</v>
      </c>
      <c r="Q5" s="166">
        <f t="shared" si="1"/>
        <v>175.21200000000002</v>
      </c>
      <c r="R5" s="167" t="s">
        <v>44</v>
      </c>
      <c r="S5" s="166">
        <f t="shared" si="2"/>
        <v>157.197</v>
      </c>
      <c r="T5" s="166">
        <f t="shared" si="3"/>
        <v>8.693634520763629</v>
      </c>
      <c r="U5" s="163"/>
      <c r="V5" s="163">
        <f t="shared" si="4"/>
        <v>8.0251414829892856E-2</v>
      </c>
      <c r="W5" s="168">
        <f t="shared" ref="W5:W23" si="7">V5*$D$4</f>
        <v>4.6545820601337856E-2</v>
      </c>
      <c r="X5" s="164">
        <f t="shared" si="5"/>
        <v>0.29609865710756478</v>
      </c>
      <c r="Y5" s="166"/>
      <c r="Z5" s="163"/>
      <c r="AA5" s="163"/>
      <c r="AB5" s="163"/>
      <c r="AC5" s="163"/>
      <c r="AD5" s="163">
        <f t="shared" si="6"/>
        <v>5.1880037909130643E-2</v>
      </c>
      <c r="AE5" s="163"/>
      <c r="AF5" s="169"/>
    </row>
    <row r="6" spans="1:38" x14ac:dyDescent="0.2">
      <c r="B6" s="162" t="s">
        <v>400</v>
      </c>
      <c r="C6" s="163"/>
      <c r="D6" s="163"/>
      <c r="E6" s="344">
        <v>4.506986813619366E-2</v>
      </c>
      <c r="F6" s="165">
        <f t="shared" si="0"/>
        <v>0.24130459956452785</v>
      </c>
      <c r="G6" s="166" t="s">
        <v>3</v>
      </c>
      <c r="H6" s="166" t="s">
        <v>208</v>
      </c>
      <c r="I6" s="166" t="s">
        <v>1</v>
      </c>
      <c r="J6" s="166" t="s">
        <v>66</v>
      </c>
      <c r="K6" s="166">
        <v>4</v>
      </c>
      <c r="L6" s="166">
        <v>8</v>
      </c>
      <c r="M6" s="166">
        <v>2</v>
      </c>
      <c r="N6" s="166">
        <v>3</v>
      </c>
      <c r="O6" s="166">
        <v>0</v>
      </c>
      <c r="P6" s="166">
        <v>0</v>
      </c>
      <c r="Q6" s="166">
        <f t="shared" si="1"/>
        <v>132.119</v>
      </c>
      <c r="R6" s="167" t="s">
        <v>44</v>
      </c>
      <c r="S6" s="166">
        <f t="shared" si="2"/>
        <v>114.104</v>
      </c>
      <c r="T6" s="166">
        <f t="shared" si="3"/>
        <v>5.1426522338122416</v>
      </c>
      <c r="U6" s="163"/>
      <c r="V6" s="163">
        <f t="shared" si="4"/>
        <v>4.747210349777739E-2</v>
      </c>
      <c r="W6" s="168">
        <f t="shared" si="7"/>
        <v>2.7533820028710885E-2</v>
      </c>
      <c r="X6" s="164">
        <f t="shared" si="5"/>
        <v>0.24130459956452785</v>
      </c>
      <c r="Y6" s="166"/>
      <c r="Z6" s="163"/>
      <c r="AA6" s="163"/>
      <c r="AB6" s="163"/>
      <c r="AC6" s="163"/>
      <c r="AD6" s="163">
        <f t="shared" si="6"/>
        <v>3.1880922389865854E-2</v>
      </c>
      <c r="AE6" s="163"/>
      <c r="AF6" s="169"/>
    </row>
    <row r="7" spans="1:38" x14ac:dyDescent="0.2">
      <c r="B7" s="162" t="s">
        <v>400</v>
      </c>
      <c r="C7" s="163"/>
      <c r="D7" s="163"/>
      <c r="E7" s="344">
        <v>4.506986813619366E-2</v>
      </c>
      <c r="F7" s="165">
        <f t="shared" si="0"/>
        <v>0.24130459956452785</v>
      </c>
      <c r="G7" s="166" t="s">
        <v>4</v>
      </c>
      <c r="H7" s="166" t="s">
        <v>208</v>
      </c>
      <c r="I7" s="166" t="s">
        <v>1</v>
      </c>
      <c r="J7" s="166" t="s">
        <v>67</v>
      </c>
      <c r="K7" s="166">
        <v>4</v>
      </c>
      <c r="L7" s="166">
        <v>6</v>
      </c>
      <c r="M7" s="166">
        <v>1</v>
      </c>
      <c r="N7" s="166">
        <v>4</v>
      </c>
      <c r="O7" s="166">
        <v>0</v>
      </c>
      <c r="P7" s="166">
        <v>0</v>
      </c>
      <c r="Q7" s="166">
        <f t="shared" si="1"/>
        <v>132.095</v>
      </c>
      <c r="R7" s="167" t="s">
        <v>44</v>
      </c>
      <c r="S7" s="166">
        <f t="shared" si="2"/>
        <v>114.08</v>
      </c>
      <c r="T7" s="166">
        <f t="shared" si="3"/>
        <v>5.1415705569769727</v>
      </c>
      <c r="U7" s="163"/>
      <c r="V7" s="163">
        <f t="shared" si="4"/>
        <v>4.7462118479864375E-2</v>
      </c>
      <c r="W7" s="168">
        <f t="shared" si="7"/>
        <v>2.7528028718321336E-2</v>
      </c>
      <c r="X7" s="164">
        <f t="shared" si="5"/>
        <v>0.24130459956452785</v>
      </c>
      <c r="Y7" s="166"/>
      <c r="Z7" s="163"/>
      <c r="AA7" s="163"/>
      <c r="AB7" s="163"/>
      <c r="AC7" s="163"/>
      <c r="AD7" s="163">
        <f t="shared" si="6"/>
        <v>3.1875131079476302E-2</v>
      </c>
      <c r="AE7" s="163"/>
      <c r="AF7" s="169"/>
    </row>
    <row r="8" spans="1:38" x14ac:dyDescent="0.2">
      <c r="B8" s="162" t="s">
        <v>400</v>
      </c>
      <c r="C8" s="163"/>
      <c r="D8" s="163"/>
      <c r="E8" s="344">
        <f>0.0171226136587286</f>
        <v>1.7122613658728601E-2</v>
      </c>
      <c r="F8" s="165">
        <f t="shared" si="0"/>
        <v>9.1674673197004064E-2</v>
      </c>
      <c r="G8" s="166" t="s">
        <v>5</v>
      </c>
      <c r="H8" s="166" t="s">
        <v>208</v>
      </c>
      <c r="I8" s="166" t="s">
        <v>1</v>
      </c>
      <c r="J8" s="166" t="s">
        <v>71</v>
      </c>
      <c r="K8" s="166">
        <v>3</v>
      </c>
      <c r="L8" s="166">
        <v>7</v>
      </c>
      <c r="M8" s="166">
        <v>1</v>
      </c>
      <c r="N8" s="166">
        <v>2</v>
      </c>
      <c r="O8" s="166">
        <v>0</v>
      </c>
      <c r="P8" s="166">
        <v>1</v>
      </c>
      <c r="Q8" s="166">
        <f t="shared" si="1"/>
        <v>121.16000000000001</v>
      </c>
      <c r="R8" s="167" t="s">
        <v>44</v>
      </c>
      <c r="S8" s="166">
        <f t="shared" si="2"/>
        <v>103.14500000000001</v>
      </c>
      <c r="T8" s="166">
        <f t="shared" si="3"/>
        <v>1.7661119858295617</v>
      </c>
      <c r="U8" s="163"/>
      <c r="V8" s="163">
        <f t="shared" si="4"/>
        <v>1.6303076149836181E-2</v>
      </c>
      <c r="W8" s="168">
        <f t="shared" si="7"/>
        <v>9.4557841669049847E-3</v>
      </c>
      <c r="X8" s="164">
        <f t="shared" si="5"/>
        <v>9.1674673197004064E-2</v>
      </c>
      <c r="Y8" s="166"/>
      <c r="Z8" s="163"/>
      <c r="AA8" s="163"/>
      <c r="AB8" s="163"/>
      <c r="AC8" s="163"/>
      <c r="AD8" s="163">
        <f t="shared" si="6"/>
        <v>1.1107303404549013E-2</v>
      </c>
      <c r="AE8" s="163"/>
      <c r="AF8" s="169"/>
    </row>
    <row r="9" spans="1:38" x14ac:dyDescent="0.2">
      <c r="B9" s="162" t="s">
        <v>400</v>
      </c>
      <c r="C9" s="163"/>
      <c r="D9" s="163"/>
      <c r="E9" s="344">
        <v>4.9202912812438493E-2</v>
      </c>
      <c r="F9" s="165">
        <f t="shared" si="0"/>
        <v>0.2634329689569081</v>
      </c>
      <c r="G9" s="166" t="s">
        <v>6</v>
      </c>
      <c r="H9" s="166" t="s">
        <v>208</v>
      </c>
      <c r="I9" s="166" t="s">
        <v>1</v>
      </c>
      <c r="J9" s="166" t="s">
        <v>75</v>
      </c>
      <c r="K9" s="166">
        <v>5</v>
      </c>
      <c r="L9" s="166">
        <v>10</v>
      </c>
      <c r="M9" s="166">
        <v>2</v>
      </c>
      <c r="N9" s="166">
        <v>3</v>
      </c>
      <c r="O9" s="166">
        <v>0</v>
      </c>
      <c r="P9" s="166">
        <v>0</v>
      </c>
      <c r="Q9" s="166">
        <f t="shared" si="1"/>
        <v>146.14599999999999</v>
      </c>
      <c r="R9" s="167" t="s">
        <v>44</v>
      </c>
      <c r="S9" s="166">
        <f t="shared" si="2"/>
        <v>128.13099999999997</v>
      </c>
      <c r="T9" s="166">
        <f t="shared" si="3"/>
        <v>6.3044184215705554</v>
      </c>
      <c r="U9" s="163"/>
      <c r="V9" s="163">
        <f t="shared" si="4"/>
        <v>5.8196430595547563E-2</v>
      </c>
      <c r="W9" s="168">
        <f t="shared" si="7"/>
        <v>3.3753929745417584E-2</v>
      </c>
      <c r="X9" s="164">
        <f t="shared" si="5"/>
        <v>0.2634329689569081</v>
      </c>
      <c r="Y9" s="166"/>
      <c r="Z9" s="163"/>
      <c r="AA9" s="163"/>
      <c r="AB9" s="163"/>
      <c r="AC9" s="163"/>
      <c r="AD9" s="163">
        <f t="shared" si="6"/>
        <v>3.8499674681176287E-2</v>
      </c>
      <c r="AE9" s="163"/>
      <c r="AF9" s="169"/>
      <c r="AI9"/>
    </row>
    <row r="10" spans="1:38" x14ac:dyDescent="0.2">
      <c r="B10" s="162" t="s">
        <v>400</v>
      </c>
      <c r="C10" s="163"/>
      <c r="D10" s="163"/>
      <c r="E10" s="344">
        <v>4.9202912812438493E-2</v>
      </c>
      <c r="F10" s="165">
        <f t="shared" si="0"/>
        <v>0.2634329689569081</v>
      </c>
      <c r="G10" s="166" t="s">
        <v>7</v>
      </c>
      <c r="H10" s="166" t="s">
        <v>208</v>
      </c>
      <c r="I10" s="166" t="s">
        <v>1</v>
      </c>
      <c r="J10" s="166" t="s">
        <v>76</v>
      </c>
      <c r="K10" s="166">
        <v>5</v>
      </c>
      <c r="L10" s="166">
        <v>8</v>
      </c>
      <c r="M10" s="166">
        <v>1</v>
      </c>
      <c r="N10" s="166">
        <v>4</v>
      </c>
      <c r="O10" s="166">
        <v>0</v>
      </c>
      <c r="P10" s="166">
        <v>0</v>
      </c>
      <c r="Q10" s="166">
        <f t="shared" si="1"/>
        <v>146.12200000000001</v>
      </c>
      <c r="R10" s="167" t="s">
        <v>44</v>
      </c>
      <c r="S10" s="166">
        <f t="shared" si="2"/>
        <v>128.10700000000003</v>
      </c>
      <c r="T10" s="166">
        <f t="shared" si="3"/>
        <v>6.3032375516630594</v>
      </c>
      <c r="U10" s="163"/>
      <c r="V10" s="163">
        <f t="shared" si="4"/>
        <v>5.8185529920970064E-2</v>
      </c>
      <c r="W10" s="168">
        <f t="shared" si="7"/>
        <v>3.3747607354162636E-2</v>
      </c>
      <c r="X10" s="164">
        <f t="shared" si="5"/>
        <v>0.2634329689569081</v>
      </c>
      <c r="Y10" s="166"/>
      <c r="Z10" s="163"/>
      <c r="AA10" s="163"/>
      <c r="AB10" s="163"/>
      <c r="AC10" s="163"/>
      <c r="AD10" s="163">
        <f t="shared" si="6"/>
        <v>3.8493352289921325E-2</v>
      </c>
      <c r="AE10" s="163"/>
      <c r="AF10" s="169"/>
      <c r="AK10" s="41"/>
    </row>
    <row r="11" spans="1:38" x14ac:dyDescent="0.2">
      <c r="B11" s="162" t="s">
        <v>400</v>
      </c>
      <c r="C11" s="163"/>
      <c r="D11" s="163"/>
      <c r="E11" s="344">
        <v>0.1145443810273568</v>
      </c>
      <c r="F11" s="165">
        <f t="shared" si="0"/>
        <v>0.61327195173168192</v>
      </c>
      <c r="G11" s="166" t="s">
        <v>8</v>
      </c>
      <c r="H11" s="166" t="s">
        <v>208</v>
      </c>
      <c r="I11" s="166" t="s">
        <v>1</v>
      </c>
      <c r="J11" s="166" t="s">
        <v>77</v>
      </c>
      <c r="K11" s="166">
        <v>2</v>
      </c>
      <c r="L11" s="166">
        <v>5</v>
      </c>
      <c r="M11" s="166">
        <v>1</v>
      </c>
      <c r="N11" s="166">
        <v>2</v>
      </c>
      <c r="O11" s="166">
        <v>0</v>
      </c>
      <c r="P11" s="166">
        <v>0</v>
      </c>
      <c r="Q11" s="166">
        <f t="shared" si="1"/>
        <v>75.067000000000007</v>
      </c>
      <c r="R11" s="167" t="s">
        <v>44</v>
      </c>
      <c r="S11" s="166">
        <f t="shared" si="2"/>
        <v>57.052000000000007</v>
      </c>
      <c r="T11" s="166">
        <f t="shared" si="3"/>
        <v>6.5349860263727608</v>
      </c>
      <c r="U11" s="163"/>
      <c r="V11" s="163">
        <f t="shared" si="4"/>
        <v>6.0324812741717117E-2</v>
      </c>
      <c r="W11" s="168">
        <f t="shared" si="7"/>
        <v>3.4988391390195925E-2</v>
      </c>
      <c r="X11" s="164">
        <f t="shared" si="5"/>
        <v>0.61327195173168192</v>
      </c>
      <c r="Y11" s="166"/>
      <c r="Z11" s="163"/>
      <c r="AA11" s="163"/>
      <c r="AB11" s="163"/>
      <c r="AC11" s="163"/>
      <c r="AD11" s="163">
        <f t="shared" si="6"/>
        <v>4.603648560064217E-2</v>
      </c>
      <c r="AE11" s="163"/>
      <c r="AF11" s="169"/>
      <c r="AH11" s="49" t="s">
        <v>405</v>
      </c>
      <c r="AI11" s="41"/>
      <c r="AJ11" s="41" t="s">
        <v>105</v>
      </c>
      <c r="AK11" s="41" t="s">
        <v>349</v>
      </c>
      <c r="AL11" s="2" t="s">
        <v>534</v>
      </c>
    </row>
    <row r="12" spans="1:38" x14ac:dyDescent="0.2">
      <c r="B12" s="162" t="s">
        <v>400</v>
      </c>
      <c r="C12" s="163"/>
      <c r="D12" s="163"/>
      <c r="E12" s="344">
        <v>1.7713048612477855E-2</v>
      </c>
      <c r="F12" s="165">
        <f t="shared" si="0"/>
        <v>9.4835868824486913E-2</v>
      </c>
      <c r="G12" s="166" t="s">
        <v>9</v>
      </c>
      <c r="H12" s="166" t="s">
        <v>208</v>
      </c>
      <c r="I12" s="166" t="s">
        <v>1</v>
      </c>
      <c r="J12" s="166" t="s">
        <v>80</v>
      </c>
      <c r="K12" s="166">
        <v>6</v>
      </c>
      <c r="L12" s="166">
        <v>9</v>
      </c>
      <c r="M12" s="166">
        <v>3</v>
      </c>
      <c r="N12" s="166">
        <v>2</v>
      </c>
      <c r="O12" s="166">
        <v>0</v>
      </c>
      <c r="P12" s="166">
        <v>0</v>
      </c>
      <c r="Q12" s="166">
        <f t="shared" si="1"/>
        <v>155.15700000000001</v>
      </c>
      <c r="R12" s="167" t="s">
        <v>44</v>
      </c>
      <c r="S12" s="166">
        <f t="shared" si="2"/>
        <v>137.142</v>
      </c>
      <c r="T12" s="166">
        <f t="shared" si="3"/>
        <v>2.4292029128124382</v>
      </c>
      <c r="U12" s="163"/>
      <c r="V12" s="163">
        <f t="shared" si="4"/>
        <v>2.2424104693668595E-2</v>
      </c>
      <c r="W12" s="168">
        <f t="shared" si="7"/>
        <v>1.3005980722327785E-2</v>
      </c>
      <c r="X12" s="164">
        <f t="shared" si="5"/>
        <v>9.4835868824486913E-2</v>
      </c>
      <c r="Y12" s="166"/>
      <c r="Z12" s="163"/>
      <c r="AA12" s="163"/>
      <c r="AB12" s="163"/>
      <c r="AC12" s="163"/>
      <c r="AD12" s="163">
        <f t="shared" si="6"/>
        <v>1.4714448899200917E-2</v>
      </c>
      <c r="AE12" s="163"/>
      <c r="AF12" s="169"/>
      <c r="AH12" s="41" t="s">
        <v>103</v>
      </c>
      <c r="AI12" s="149">
        <f>SUM(AD4:AD71)</f>
        <v>42.470179175088077</v>
      </c>
      <c r="AJ12" s="149">
        <f>SUM(AF:AF)</f>
        <v>0.9997668751373745</v>
      </c>
      <c r="AK12" s="149">
        <f>1-AI14</f>
        <v>2.331248626248339E-4</v>
      </c>
      <c r="AL12" s="29"/>
    </row>
    <row r="13" spans="1:38" x14ac:dyDescent="0.2">
      <c r="B13" s="162" t="s">
        <v>400</v>
      </c>
      <c r="C13" s="163"/>
      <c r="D13" s="163"/>
      <c r="E13" s="344">
        <v>5.4320015744932101E-2</v>
      </c>
      <c r="F13" s="165">
        <f t="shared" si="0"/>
        <v>0.29082999772842655</v>
      </c>
      <c r="G13" s="166" t="s">
        <v>10</v>
      </c>
      <c r="H13" s="166" t="s">
        <v>208</v>
      </c>
      <c r="I13" s="166" t="s">
        <v>1</v>
      </c>
      <c r="J13" s="166" t="s">
        <v>81</v>
      </c>
      <c r="K13" s="166">
        <v>6</v>
      </c>
      <c r="L13" s="166">
        <v>13</v>
      </c>
      <c r="M13" s="166">
        <v>1</v>
      </c>
      <c r="N13" s="166">
        <v>2</v>
      </c>
      <c r="O13" s="166">
        <v>0</v>
      </c>
      <c r="P13" s="166">
        <v>0</v>
      </c>
      <c r="Q13" s="166">
        <f t="shared" si="1"/>
        <v>131.17500000000001</v>
      </c>
      <c r="R13" s="167" t="s">
        <v>44</v>
      </c>
      <c r="S13" s="166">
        <f t="shared" si="2"/>
        <v>113.16000000000001</v>
      </c>
      <c r="T13" s="166">
        <f t="shared" si="3"/>
        <v>6.1468529816965169</v>
      </c>
      <c r="U13" s="163"/>
      <c r="V13" s="163">
        <f t="shared" si="4"/>
        <v>5.6741935418877162E-2</v>
      </c>
      <c r="W13" s="168">
        <f t="shared" si="7"/>
        <v>3.2910322542948754E-2</v>
      </c>
      <c r="X13" s="164">
        <f t="shared" si="5"/>
        <v>0.29082999772842655</v>
      </c>
      <c r="Y13" s="166"/>
      <c r="Z13" s="163"/>
      <c r="AA13" s="163"/>
      <c r="AB13" s="170"/>
      <c r="AC13" s="163"/>
      <c r="AD13" s="163">
        <f t="shared" si="6"/>
        <v>3.8149624952026361E-2</v>
      </c>
      <c r="AE13" s="163"/>
      <c r="AF13" s="169"/>
      <c r="AH13" s="41" t="s">
        <v>104</v>
      </c>
      <c r="AI13" s="149">
        <f>SUM(AD76:AD81)</f>
        <v>41.470412299950702</v>
      </c>
      <c r="AJ13" s="149"/>
      <c r="AK13" s="55"/>
      <c r="AL13" s="29"/>
    </row>
    <row r="14" spans="1:38" x14ac:dyDescent="0.2">
      <c r="B14" s="162" t="s">
        <v>400</v>
      </c>
      <c r="C14" s="163"/>
      <c r="D14" s="163"/>
      <c r="E14" s="344">
        <v>8.4235386734894696E-2</v>
      </c>
      <c r="F14" s="165">
        <f t="shared" si="0"/>
        <v>0.45099724285422665</v>
      </c>
      <c r="G14" s="166" t="s">
        <v>11</v>
      </c>
      <c r="H14" s="166" t="s">
        <v>208</v>
      </c>
      <c r="I14" s="166" t="s">
        <v>1</v>
      </c>
      <c r="J14" s="166" t="s">
        <v>81</v>
      </c>
      <c r="K14" s="166">
        <v>6</v>
      </c>
      <c r="L14" s="166">
        <v>13</v>
      </c>
      <c r="M14" s="166">
        <v>1</v>
      </c>
      <c r="N14" s="166">
        <v>2</v>
      </c>
      <c r="O14" s="166">
        <v>0</v>
      </c>
      <c r="P14" s="166">
        <v>0</v>
      </c>
      <c r="Q14" s="166">
        <f t="shared" si="1"/>
        <v>131.17500000000001</v>
      </c>
      <c r="R14" s="167" t="s">
        <v>44</v>
      </c>
      <c r="S14" s="166">
        <f t="shared" si="2"/>
        <v>113.16000000000001</v>
      </c>
      <c r="T14" s="166">
        <f t="shared" si="3"/>
        <v>9.5320763629206855</v>
      </c>
      <c r="U14" s="163"/>
      <c r="V14" s="163">
        <f t="shared" si="4"/>
        <v>8.7991117243766029E-2</v>
      </c>
      <c r="W14" s="168">
        <f t="shared" si="7"/>
        <v>5.1034848001384296E-2</v>
      </c>
      <c r="X14" s="164">
        <f t="shared" si="5"/>
        <v>0.45099724285422665</v>
      </c>
      <c r="Y14" s="166"/>
      <c r="Z14" s="163"/>
      <c r="AA14" s="163"/>
      <c r="AB14" s="170"/>
      <c r="AC14" s="163"/>
      <c r="AD14" s="163">
        <f t="shared" si="6"/>
        <v>5.9159563331403181E-2</v>
      </c>
      <c r="AE14" s="163"/>
      <c r="AF14" s="169"/>
      <c r="AH14" s="41" t="s">
        <v>105</v>
      </c>
      <c r="AI14" s="149">
        <f>AI12-AI13</f>
        <v>0.99976687513737517</v>
      </c>
      <c r="AJ14" s="149"/>
      <c r="AK14" s="149"/>
      <c r="AL14" s="8"/>
    </row>
    <row r="15" spans="1:38" x14ac:dyDescent="0.2">
      <c r="B15" s="162" t="s">
        <v>400</v>
      </c>
      <c r="C15" s="163"/>
      <c r="D15" s="163"/>
      <c r="E15" s="344">
        <v>6.4160598307419797E-2</v>
      </c>
      <c r="F15" s="165">
        <f t="shared" si="0"/>
        <v>0.34351659151980818</v>
      </c>
      <c r="G15" s="166" t="s">
        <v>12</v>
      </c>
      <c r="H15" s="166" t="s">
        <v>208</v>
      </c>
      <c r="I15" s="166" t="s">
        <v>1</v>
      </c>
      <c r="J15" s="166" t="s">
        <v>82</v>
      </c>
      <c r="K15" s="166">
        <v>6</v>
      </c>
      <c r="L15" s="166">
        <v>15</v>
      </c>
      <c r="M15" s="166">
        <v>2</v>
      </c>
      <c r="N15" s="166">
        <v>2</v>
      </c>
      <c r="O15" s="166">
        <v>0</v>
      </c>
      <c r="P15" s="166">
        <v>0</v>
      </c>
      <c r="Q15" s="166">
        <f t="shared" si="1"/>
        <v>147.19800000000001</v>
      </c>
      <c r="R15" s="167" t="s">
        <v>44</v>
      </c>
      <c r="S15" s="166">
        <f t="shared" si="2"/>
        <v>129.18299999999999</v>
      </c>
      <c r="T15" s="166">
        <f t="shared" si="3"/>
        <v>8.2884585711474106</v>
      </c>
      <c r="U15" s="163"/>
      <c r="V15" s="163">
        <f t="shared" si="4"/>
        <v>7.651121352121272E-2</v>
      </c>
      <c r="W15" s="168">
        <f t="shared" si="7"/>
        <v>4.4376503842303378E-2</v>
      </c>
      <c r="X15" s="164">
        <f t="shared" si="5"/>
        <v>0.34351659151980818</v>
      </c>
      <c r="Y15" s="166"/>
      <c r="Z15" s="163"/>
      <c r="AA15" s="163"/>
      <c r="AB15" s="170"/>
      <c r="AC15" s="163"/>
      <c r="AD15" s="163">
        <f t="shared" si="6"/>
        <v>5.0564955238532723E-2</v>
      </c>
      <c r="AE15" s="163"/>
      <c r="AF15" s="169"/>
      <c r="AH15" s="41"/>
      <c r="AI15" s="149"/>
      <c r="AJ15" s="149"/>
      <c r="AK15" s="55"/>
      <c r="AL15" s="29"/>
    </row>
    <row r="16" spans="1:38" x14ac:dyDescent="0.2">
      <c r="B16" s="162" t="s">
        <v>400</v>
      </c>
      <c r="C16" s="163"/>
      <c r="D16" s="163"/>
      <c r="E16" s="344">
        <v>2.8734501082464076E-2</v>
      </c>
      <c r="F16" s="165">
        <f t="shared" si="0"/>
        <v>0.1538448538708343</v>
      </c>
      <c r="G16" s="166" t="s">
        <v>13</v>
      </c>
      <c r="H16" s="166" t="s">
        <v>208</v>
      </c>
      <c r="I16" s="166" t="s">
        <v>1</v>
      </c>
      <c r="J16" s="166" t="s">
        <v>83</v>
      </c>
      <c r="K16" s="166">
        <v>5</v>
      </c>
      <c r="L16" s="166">
        <v>11</v>
      </c>
      <c r="M16" s="166">
        <v>1</v>
      </c>
      <c r="N16" s="166">
        <v>2</v>
      </c>
      <c r="O16" s="166">
        <v>0</v>
      </c>
      <c r="P16" s="166">
        <v>1</v>
      </c>
      <c r="Q16" s="166">
        <f t="shared" si="1"/>
        <v>149.214</v>
      </c>
      <c r="R16" s="167" t="s">
        <v>44</v>
      </c>
      <c r="S16" s="166">
        <f t="shared" si="2"/>
        <v>131.19900000000001</v>
      </c>
      <c r="T16" s="166">
        <f t="shared" si="3"/>
        <v>3.7699378075182048</v>
      </c>
      <c r="U16" s="163"/>
      <c r="V16" s="163">
        <f t="shared" si="4"/>
        <v>3.4800501694826888E-2</v>
      </c>
      <c r="W16" s="168">
        <f t="shared" si="7"/>
        <v>2.0184290982999592E-2</v>
      </c>
      <c r="X16" s="164">
        <f t="shared" si="5"/>
        <v>0.1538448538708343</v>
      </c>
      <c r="Y16" s="166"/>
      <c r="Z16" s="163"/>
      <c r="AA16" s="163"/>
      <c r="AB16" s="170"/>
      <c r="AC16" s="163"/>
      <c r="AD16" s="163">
        <f t="shared" si="6"/>
        <v>2.295580602548267E-2</v>
      </c>
      <c r="AE16" s="163"/>
      <c r="AF16" s="169"/>
      <c r="AH16" s="55" t="s">
        <v>108</v>
      </c>
      <c r="AI16" s="41"/>
      <c r="AJ16" s="149"/>
      <c r="AK16" s="41"/>
    </row>
    <row r="17" spans="2:37" x14ac:dyDescent="0.2">
      <c r="B17" s="162" t="s">
        <v>400</v>
      </c>
      <c r="C17" s="163"/>
      <c r="D17" s="163"/>
      <c r="E17" s="344">
        <v>3.4638850619956696E-2</v>
      </c>
      <c r="F17" s="165">
        <f t="shared" si="0"/>
        <v>0.18545681014566331</v>
      </c>
      <c r="G17" s="166" t="s">
        <v>14</v>
      </c>
      <c r="H17" s="166" t="s">
        <v>208</v>
      </c>
      <c r="I17" s="166" t="s">
        <v>1</v>
      </c>
      <c r="J17" s="166" t="s">
        <v>88</v>
      </c>
      <c r="K17" s="166">
        <v>9</v>
      </c>
      <c r="L17" s="166">
        <v>11</v>
      </c>
      <c r="M17" s="166">
        <v>1</v>
      </c>
      <c r="N17" s="166">
        <v>2</v>
      </c>
      <c r="O17" s="166">
        <v>0</v>
      </c>
      <c r="P17" s="166">
        <v>0</v>
      </c>
      <c r="Q17" s="166">
        <f t="shared" si="1"/>
        <v>165.19199999999998</v>
      </c>
      <c r="R17" s="167" t="s">
        <v>44</v>
      </c>
      <c r="S17" s="166">
        <f t="shared" si="2"/>
        <v>147.17699999999996</v>
      </c>
      <c r="T17" s="166">
        <f t="shared" si="3"/>
        <v>5.0980421176933657</v>
      </c>
      <c r="U17" s="163"/>
      <c r="V17" s="163">
        <f t="shared" si="4"/>
        <v>4.7060305080703933E-2</v>
      </c>
      <c r="W17" s="168">
        <f t="shared" si="7"/>
        <v>2.729497694680828E-2</v>
      </c>
      <c r="X17" s="164">
        <f t="shared" si="5"/>
        <v>0.18545681014566331</v>
      </c>
      <c r="Y17" s="166"/>
      <c r="Z17" s="163"/>
      <c r="AA17" s="163"/>
      <c r="AB17" s="170"/>
      <c r="AC17" s="163"/>
      <c r="AD17" s="163">
        <f t="shared" si="6"/>
        <v>3.0635981381582411E-2</v>
      </c>
      <c r="AE17" s="163"/>
      <c r="AF17" s="169"/>
      <c r="AH17" s="55" t="s">
        <v>103</v>
      </c>
      <c r="AI17" s="41">
        <f>SUM(AD70:AD71)</f>
        <v>41.276268000000002</v>
      </c>
      <c r="AJ17" s="149"/>
      <c r="AK17" s="41"/>
    </row>
    <row r="18" spans="2:37" x14ac:dyDescent="0.2">
      <c r="B18" s="162" t="s">
        <v>400</v>
      </c>
      <c r="C18" s="163"/>
      <c r="D18" s="163"/>
      <c r="E18" s="344">
        <v>4.1330446762448333E-2</v>
      </c>
      <c r="F18" s="165">
        <f t="shared" si="0"/>
        <v>0.22128369392380282</v>
      </c>
      <c r="G18" s="166" t="s">
        <v>15</v>
      </c>
      <c r="H18" s="166" t="s">
        <v>208</v>
      </c>
      <c r="I18" s="166" t="s">
        <v>1</v>
      </c>
      <c r="J18" s="166" t="s">
        <v>91</v>
      </c>
      <c r="K18" s="166">
        <v>5</v>
      </c>
      <c r="L18" s="166">
        <v>9</v>
      </c>
      <c r="M18" s="166">
        <v>1</v>
      </c>
      <c r="N18" s="166">
        <v>2</v>
      </c>
      <c r="O18" s="166">
        <v>0</v>
      </c>
      <c r="P18" s="166">
        <v>0</v>
      </c>
      <c r="Q18" s="166">
        <f t="shared" si="1"/>
        <v>115.13200000000001</v>
      </c>
      <c r="R18" s="167" t="s">
        <v>44</v>
      </c>
      <c r="S18" s="166">
        <f t="shared" si="2"/>
        <v>97.117000000000004</v>
      </c>
      <c r="T18" s="166">
        <f t="shared" si="3"/>
        <v>4.0138889982286949</v>
      </c>
      <c r="U18" s="163"/>
      <c r="V18" s="163">
        <f t="shared" si="4"/>
        <v>3.7052428453099931E-2</v>
      </c>
      <c r="W18" s="168">
        <f t="shared" si="7"/>
        <v>2.1490408502797959E-2</v>
      </c>
      <c r="X18" s="164">
        <f t="shared" si="5"/>
        <v>0.22128369392380282</v>
      </c>
      <c r="Y18" s="166"/>
      <c r="Z18" s="163"/>
      <c r="AA18" s="164"/>
      <c r="AB18" s="170"/>
      <c r="AC18" s="163"/>
      <c r="AD18" s="163">
        <f t="shared" si="6"/>
        <v>2.5476834248835269E-2</v>
      </c>
      <c r="AE18" s="163"/>
      <c r="AF18" s="169"/>
      <c r="AH18" s="55" t="s">
        <v>104</v>
      </c>
      <c r="AI18" s="41">
        <f>SUM(AD76:AD78)</f>
        <v>41.276268000000002</v>
      </c>
      <c r="AJ18" s="149"/>
      <c r="AK18" s="41"/>
    </row>
    <row r="19" spans="2:37" x14ac:dyDescent="0.2">
      <c r="B19" s="162" t="s">
        <v>400</v>
      </c>
      <c r="C19" s="163"/>
      <c r="D19" s="163"/>
      <c r="E19" s="344">
        <v>4.0346388506199558E-2</v>
      </c>
      <c r="F19" s="165">
        <f t="shared" si="0"/>
        <v>0.21601503454466464</v>
      </c>
      <c r="G19" s="166" t="s">
        <v>16</v>
      </c>
      <c r="H19" s="166" t="s">
        <v>208</v>
      </c>
      <c r="I19" s="166" t="s">
        <v>1</v>
      </c>
      <c r="J19" s="166" t="s">
        <v>93</v>
      </c>
      <c r="K19" s="166">
        <v>3</v>
      </c>
      <c r="L19" s="166">
        <v>7</v>
      </c>
      <c r="M19" s="166">
        <v>1</v>
      </c>
      <c r="N19" s="166">
        <v>3</v>
      </c>
      <c r="O19" s="166">
        <v>0</v>
      </c>
      <c r="P19" s="166">
        <v>0</v>
      </c>
      <c r="Q19" s="166">
        <f t="shared" si="1"/>
        <v>105.093</v>
      </c>
      <c r="R19" s="167" t="s">
        <v>44</v>
      </c>
      <c r="S19" s="166">
        <f t="shared" si="2"/>
        <v>87.078000000000003</v>
      </c>
      <c r="T19" s="166">
        <f t="shared" si="3"/>
        <v>3.5132828183428453</v>
      </c>
      <c r="U19" s="163"/>
      <c r="V19" s="163">
        <f t="shared" si="4"/>
        <v>3.2431305479448808E-2</v>
      </c>
      <c r="W19" s="168">
        <f t="shared" si="7"/>
        <v>1.8810157178080308E-2</v>
      </c>
      <c r="X19" s="164">
        <f t="shared" si="5"/>
        <v>0.21601503454466464</v>
      </c>
      <c r="Y19" s="166"/>
      <c r="Z19" s="163"/>
      <c r="AA19" s="163"/>
      <c r="AB19" s="170"/>
      <c r="AC19" s="163"/>
      <c r="AD19" s="163">
        <f t="shared" si="6"/>
        <v>2.2701668025402442E-2</v>
      </c>
      <c r="AE19" s="163"/>
      <c r="AF19" s="169"/>
      <c r="AH19" s="55" t="s">
        <v>105</v>
      </c>
      <c r="AI19" s="41">
        <f>AI17-AI18</f>
        <v>0</v>
      </c>
      <c r="AJ19" s="149"/>
      <c r="AK19" s="41"/>
    </row>
    <row r="20" spans="2:37" x14ac:dyDescent="0.2">
      <c r="B20" s="162" t="s">
        <v>400</v>
      </c>
      <c r="C20" s="163"/>
      <c r="D20" s="163"/>
      <c r="E20" s="344">
        <v>4.7431607951190703E-2</v>
      </c>
      <c r="F20" s="165">
        <f t="shared" si="0"/>
        <v>0.25394938207445944</v>
      </c>
      <c r="G20" s="166" t="s">
        <v>17</v>
      </c>
      <c r="H20" s="166" t="s">
        <v>208</v>
      </c>
      <c r="I20" s="166" t="s">
        <v>1</v>
      </c>
      <c r="J20" s="166" t="s">
        <v>96</v>
      </c>
      <c r="K20" s="166">
        <v>4</v>
      </c>
      <c r="L20" s="166">
        <v>9</v>
      </c>
      <c r="M20" s="166">
        <v>1</v>
      </c>
      <c r="N20" s="166">
        <v>3</v>
      </c>
      <c r="O20" s="166">
        <v>0</v>
      </c>
      <c r="P20" s="166">
        <v>0</v>
      </c>
      <c r="Q20" s="166">
        <f t="shared" si="1"/>
        <v>119.12</v>
      </c>
      <c r="R20" s="167" t="s">
        <v>44</v>
      </c>
      <c r="S20" s="166">
        <f t="shared" si="2"/>
        <v>101.105</v>
      </c>
      <c r="T20" s="166">
        <f t="shared" si="3"/>
        <v>4.7955727219051365</v>
      </c>
      <c r="U20" s="163"/>
      <c r="V20" s="163">
        <f t="shared" si="4"/>
        <v>4.4268193576962447E-2</v>
      </c>
      <c r="W20" s="168">
        <f t="shared" si="7"/>
        <v>2.5675552274638219E-2</v>
      </c>
      <c r="X20" s="164">
        <f t="shared" si="5"/>
        <v>0.25394938207445944</v>
      </c>
      <c r="Y20" s="166"/>
      <c r="Z20" s="163"/>
      <c r="AA20" s="163"/>
      <c r="AB20" s="170"/>
      <c r="AC20" s="163"/>
      <c r="AD20" s="163">
        <f t="shared" si="6"/>
        <v>3.025045039270961E-2</v>
      </c>
      <c r="AE20" s="163"/>
      <c r="AF20" s="169"/>
    </row>
    <row r="21" spans="2:37" x14ac:dyDescent="0.2">
      <c r="B21" s="162" t="s">
        <v>400</v>
      </c>
      <c r="C21" s="163"/>
      <c r="D21" s="163"/>
      <c r="E21" s="344">
        <v>1.0627829167486714E-2</v>
      </c>
      <c r="F21" s="165">
        <f t="shared" si="0"/>
        <v>5.6901521294692156E-2</v>
      </c>
      <c r="G21" s="166" t="s">
        <v>18</v>
      </c>
      <c r="H21" s="166" t="s">
        <v>208</v>
      </c>
      <c r="I21" s="166" t="s">
        <v>1</v>
      </c>
      <c r="J21" s="166" t="s">
        <v>97</v>
      </c>
      <c r="K21" s="166">
        <v>11</v>
      </c>
      <c r="L21" s="166">
        <v>12</v>
      </c>
      <c r="M21" s="166">
        <v>2</v>
      </c>
      <c r="N21" s="166">
        <v>2</v>
      </c>
      <c r="O21" s="166">
        <v>0</v>
      </c>
      <c r="P21" s="166">
        <v>0</v>
      </c>
      <c r="Q21" s="166">
        <f t="shared" si="1"/>
        <v>204.22899999999998</v>
      </c>
      <c r="R21" s="167" t="s">
        <v>44</v>
      </c>
      <c r="S21" s="166">
        <f t="shared" si="2"/>
        <v>186.214</v>
      </c>
      <c r="T21" s="166">
        <f t="shared" si="3"/>
        <v>1.979050580594371</v>
      </c>
      <c r="U21" s="163"/>
      <c r="V21" s="163">
        <f t="shared" si="4"/>
        <v>1.8268723942016906E-2</v>
      </c>
      <c r="W21" s="168">
        <f t="shared" si="7"/>
        <v>1.0595859886369805E-2</v>
      </c>
      <c r="X21" s="164">
        <f t="shared" si="5"/>
        <v>5.6901521294692156E-2</v>
      </c>
      <c r="Y21" s="166"/>
      <c r="Z21" s="163"/>
      <c r="AA21" s="163"/>
      <c r="AB21" s="170"/>
      <c r="AC21" s="163"/>
      <c r="AD21" s="163">
        <f t="shared" si="6"/>
        <v>1.1620940792493683E-2</v>
      </c>
      <c r="AE21" s="163"/>
      <c r="AF21" s="169"/>
    </row>
    <row r="22" spans="2:37" x14ac:dyDescent="0.2">
      <c r="B22" s="162" t="s">
        <v>400</v>
      </c>
      <c r="C22" s="163"/>
      <c r="D22" s="163"/>
      <c r="E22" s="344">
        <v>2.5782326313717772E-2</v>
      </c>
      <c r="F22" s="165">
        <f t="shared" si="0"/>
        <v>0.13803887573341986</v>
      </c>
      <c r="G22" s="166" t="s">
        <v>19</v>
      </c>
      <c r="H22" s="166" t="s">
        <v>208</v>
      </c>
      <c r="I22" s="166" t="s">
        <v>1</v>
      </c>
      <c r="J22" s="166" t="s">
        <v>98</v>
      </c>
      <c r="K22" s="166">
        <v>9</v>
      </c>
      <c r="L22" s="166">
        <v>11</v>
      </c>
      <c r="M22" s="166">
        <v>1</v>
      </c>
      <c r="N22" s="166">
        <v>3</v>
      </c>
      <c r="O22" s="166">
        <v>0</v>
      </c>
      <c r="P22" s="166">
        <v>0</v>
      </c>
      <c r="Q22" s="166">
        <f t="shared" si="1"/>
        <v>181.19099999999997</v>
      </c>
      <c r="R22" s="167" t="s">
        <v>44</v>
      </c>
      <c r="S22" s="166">
        <f t="shared" si="2"/>
        <v>163.17599999999999</v>
      </c>
      <c r="T22" s="166">
        <f t="shared" si="3"/>
        <v>4.2070568785672107</v>
      </c>
      <c r="U22" s="163"/>
      <c r="V22" s="163">
        <f t="shared" si="4"/>
        <v>3.8835571701166409E-2</v>
      </c>
      <c r="W22" s="168">
        <f t="shared" si="7"/>
        <v>2.2524631586676516E-2</v>
      </c>
      <c r="X22" s="164">
        <f t="shared" si="5"/>
        <v>0.13803887573341986</v>
      </c>
      <c r="Y22" s="166"/>
      <c r="Z22" s="163"/>
      <c r="AA22" s="163"/>
      <c r="AB22" s="171"/>
      <c r="AC22" s="163"/>
      <c r="AD22" s="163">
        <f t="shared" si="6"/>
        <v>2.5011401933014075E-2</v>
      </c>
      <c r="AE22" s="163"/>
      <c r="AF22" s="169"/>
      <c r="AH22" s="2"/>
    </row>
    <row r="23" spans="2:37" x14ac:dyDescent="0.2">
      <c r="B23" s="162" t="s">
        <v>400</v>
      </c>
      <c r="C23" s="163"/>
      <c r="D23" s="163"/>
      <c r="E23" s="344">
        <v>7.9118283802401101E-2</v>
      </c>
      <c r="F23" s="165">
        <f t="shared" si="0"/>
        <v>0.42360021408270826</v>
      </c>
      <c r="G23" s="166" t="s">
        <v>20</v>
      </c>
      <c r="H23" s="166" t="s">
        <v>208</v>
      </c>
      <c r="I23" s="166" t="s">
        <v>1</v>
      </c>
      <c r="J23" s="166" t="s">
        <v>100</v>
      </c>
      <c r="K23" s="166">
        <v>5</v>
      </c>
      <c r="L23" s="166">
        <v>11</v>
      </c>
      <c r="M23" s="166">
        <v>1</v>
      </c>
      <c r="N23" s="166">
        <v>2</v>
      </c>
      <c r="O23" s="166">
        <v>0</v>
      </c>
      <c r="P23" s="166">
        <v>0</v>
      </c>
      <c r="Q23" s="166">
        <f t="shared" si="1"/>
        <v>117.14800000000001</v>
      </c>
      <c r="R23" s="167" t="s">
        <v>44</v>
      </c>
      <c r="S23" s="166">
        <f t="shared" si="2"/>
        <v>99.13300000000001</v>
      </c>
      <c r="T23" s="166">
        <f t="shared" si="3"/>
        <v>7.8432328281834289</v>
      </c>
      <c r="U23" s="163"/>
      <c r="V23" s="163">
        <f t="shared" si="4"/>
        <v>7.2401310383898493E-2</v>
      </c>
      <c r="W23" s="168">
        <f t="shared" si="7"/>
        <v>4.199276002266112E-2</v>
      </c>
      <c r="X23" s="164">
        <f t="shared" si="5"/>
        <v>0.42360021408270826</v>
      </c>
      <c r="Y23" s="166"/>
      <c r="Z23" s="172">
        <f>SUM(X4:X23)</f>
        <v>5.3540116610802002</v>
      </c>
      <c r="AA23" s="166" t="s">
        <v>102</v>
      </c>
      <c r="AB23" s="173">
        <f>SUM(W4:W23)</f>
        <v>0.57999999999999985</v>
      </c>
      <c r="AC23" s="163"/>
      <c r="AD23" s="163">
        <f t="shared" si="6"/>
        <v>4.9623917879361108E-2</v>
      </c>
      <c r="AE23" s="163">
        <f>SUM(AD4:AD23)</f>
        <v>0.67645252007435974</v>
      </c>
      <c r="AF23" s="174">
        <f>AE23-AD81</f>
        <v>0.57999999999999996</v>
      </c>
    </row>
    <row r="24" spans="2:37" x14ac:dyDescent="0.2">
      <c r="B24" s="275" t="s">
        <v>136</v>
      </c>
      <c r="C24" s="175" t="s">
        <v>35</v>
      </c>
      <c r="D24" s="343">
        <v>5.0999999999999997E-2</v>
      </c>
      <c r="E24" s="343">
        <f>(1-0.5946)/2</f>
        <v>0.20269999999999999</v>
      </c>
      <c r="F24" s="177">
        <f t="shared" si="0"/>
        <v>3.3630690049604381E-2</v>
      </c>
      <c r="G24" s="175" t="s">
        <v>34</v>
      </c>
      <c r="H24" s="175" t="s">
        <v>208</v>
      </c>
      <c r="I24" s="175" t="s">
        <v>35</v>
      </c>
      <c r="J24" s="175" t="s">
        <v>58</v>
      </c>
      <c r="K24" s="175">
        <v>10</v>
      </c>
      <c r="L24" s="175">
        <v>12</v>
      </c>
      <c r="M24" s="175">
        <v>5</v>
      </c>
      <c r="N24" s="175">
        <v>12</v>
      </c>
      <c r="O24" s="175">
        <v>3</v>
      </c>
      <c r="P24" s="178">
        <v>0</v>
      </c>
      <c r="Q24" s="178">
        <f t="shared" si="1"/>
        <v>487.15099999999995</v>
      </c>
      <c r="R24" s="179" t="s">
        <v>47</v>
      </c>
      <c r="S24" s="180">
        <f>Q24-$Q$79</f>
        <v>312.20199999999994</v>
      </c>
      <c r="T24" s="180">
        <f t="shared" si="3"/>
        <v>63.283345399999988</v>
      </c>
      <c r="U24" s="175">
        <f>SUM(T24:T27)</f>
        <v>307.38887560000001</v>
      </c>
      <c r="V24" s="175">
        <f>T24/$U$24</f>
        <v>0.20587389597777619</v>
      </c>
      <c r="W24" s="181">
        <f>V24*$D$24</f>
        <v>1.0499568694866585E-2</v>
      </c>
      <c r="X24" s="182">
        <f t="shared" si="5"/>
        <v>3.3630690049604381E-2</v>
      </c>
      <c r="Y24" s="180"/>
      <c r="Z24" s="175"/>
      <c r="AA24" s="175"/>
      <c r="AB24" s="183"/>
      <c r="AC24" s="175"/>
      <c r="AD24" s="175">
        <f t="shared" si="6"/>
        <v>1.6383224288354821E-2</v>
      </c>
      <c r="AE24" s="175"/>
      <c r="AF24" s="187"/>
    </row>
    <row r="25" spans="2:37" x14ac:dyDescent="0.2">
      <c r="B25" s="275" t="s">
        <v>136</v>
      </c>
      <c r="C25" s="283" t="s">
        <v>413</v>
      </c>
      <c r="D25" s="175"/>
      <c r="E25" s="343">
        <f>0.5946/2</f>
        <v>0.29730000000000001</v>
      </c>
      <c r="F25" s="177">
        <f t="shared" si="0"/>
        <v>4.9326118163529269E-2</v>
      </c>
      <c r="G25" s="175" t="s">
        <v>36</v>
      </c>
      <c r="H25" s="175" t="s">
        <v>208</v>
      </c>
      <c r="I25" s="175" t="s">
        <v>35</v>
      </c>
      <c r="J25" s="175" t="s">
        <v>72</v>
      </c>
      <c r="K25" s="175">
        <v>9</v>
      </c>
      <c r="L25" s="175">
        <v>10</v>
      </c>
      <c r="M25" s="175">
        <v>3</v>
      </c>
      <c r="N25" s="175">
        <v>13</v>
      </c>
      <c r="O25" s="175">
        <v>3</v>
      </c>
      <c r="P25" s="178">
        <v>0</v>
      </c>
      <c r="Q25" s="178">
        <f t="shared" si="1"/>
        <v>461.10900000000004</v>
      </c>
      <c r="R25" s="179" t="s">
        <v>47</v>
      </c>
      <c r="S25" s="180">
        <f>Q25-$Q$79</f>
        <v>286.16000000000003</v>
      </c>
      <c r="T25" s="180">
        <f t="shared" si="3"/>
        <v>85.075368000000012</v>
      </c>
      <c r="U25" s="178"/>
      <c r="V25" s="175">
        <f>T25/$U$24</f>
        <v>0.27676788183677525</v>
      </c>
      <c r="W25" s="181">
        <f>V25*$D$24</f>
        <v>1.4115161973675537E-2</v>
      </c>
      <c r="X25" s="182">
        <f t="shared" si="5"/>
        <v>4.9326118163529269E-2</v>
      </c>
      <c r="Y25" s="180"/>
      <c r="Z25" s="175"/>
      <c r="AA25" s="175"/>
      <c r="AB25" s="183"/>
      <c r="AC25" s="175"/>
      <c r="AD25" s="175">
        <f t="shared" si="6"/>
        <v>2.2744717020266821E-2</v>
      </c>
      <c r="AE25" s="175"/>
      <c r="AF25" s="187"/>
    </row>
    <row r="26" spans="2:37" x14ac:dyDescent="0.2">
      <c r="B26" s="275" t="s">
        <v>136</v>
      </c>
      <c r="C26" s="283" t="s">
        <v>413</v>
      </c>
      <c r="D26" s="175"/>
      <c r="E26" s="343">
        <f>0.5946/2</f>
        <v>0.29730000000000001</v>
      </c>
      <c r="F26" s="177">
        <f t="shared" si="0"/>
        <v>4.9326118163529269E-2</v>
      </c>
      <c r="G26" s="175" t="s">
        <v>37</v>
      </c>
      <c r="H26" s="175" t="s">
        <v>208</v>
      </c>
      <c r="I26" s="175" t="s">
        <v>35</v>
      </c>
      <c r="J26" s="175" t="s">
        <v>68</v>
      </c>
      <c r="K26" s="175">
        <v>10</v>
      </c>
      <c r="L26" s="175">
        <v>12</v>
      </c>
      <c r="M26" s="175">
        <v>5</v>
      </c>
      <c r="N26" s="175">
        <v>13</v>
      </c>
      <c r="O26" s="175">
        <v>3</v>
      </c>
      <c r="P26" s="178">
        <v>0</v>
      </c>
      <c r="Q26" s="178">
        <f t="shared" si="1"/>
        <v>503.15</v>
      </c>
      <c r="R26" s="179" t="s">
        <v>47</v>
      </c>
      <c r="S26" s="180">
        <f>Q26-$Q$79</f>
        <v>328.20099999999996</v>
      </c>
      <c r="T26" s="180">
        <f t="shared" si="3"/>
        <v>97.574157299999996</v>
      </c>
      <c r="U26" s="178"/>
      <c r="V26" s="175">
        <f>T26/$U$24</f>
        <v>0.31742904524291116</v>
      </c>
      <c r="W26" s="181">
        <f>V26*$D$24</f>
        <v>1.6188881307388468E-2</v>
      </c>
      <c r="X26" s="182">
        <f t="shared" si="5"/>
        <v>4.9326118163529269E-2</v>
      </c>
      <c r="Y26" s="180"/>
      <c r="Z26" s="180"/>
      <c r="AA26" s="175"/>
      <c r="AB26" s="183"/>
      <c r="AC26" s="175"/>
      <c r="AD26" s="175">
        <f t="shared" si="6"/>
        <v>2.4818436353979748E-2</v>
      </c>
      <c r="AE26" s="175"/>
      <c r="AF26" s="187"/>
    </row>
    <row r="27" spans="2:37" x14ac:dyDescent="0.2">
      <c r="B27" s="275" t="s">
        <v>136</v>
      </c>
      <c r="C27" s="283" t="s">
        <v>413</v>
      </c>
      <c r="D27" s="175"/>
      <c r="E27" s="343">
        <f>(1-0.5946)/2</f>
        <v>0.20269999999999999</v>
      </c>
      <c r="F27" s="177">
        <f t="shared" si="0"/>
        <v>3.3630690049604381E-2</v>
      </c>
      <c r="G27" s="175" t="s">
        <v>38</v>
      </c>
      <c r="H27" s="175" t="s">
        <v>208</v>
      </c>
      <c r="I27" s="175" t="s">
        <v>35</v>
      </c>
      <c r="J27" s="175" t="s">
        <v>73</v>
      </c>
      <c r="K27" s="175">
        <v>10</v>
      </c>
      <c r="L27" s="175">
        <v>13</v>
      </c>
      <c r="M27" s="175">
        <v>2</v>
      </c>
      <c r="N27" s="175">
        <v>14</v>
      </c>
      <c r="O27" s="175">
        <v>3</v>
      </c>
      <c r="P27" s="178">
        <v>0</v>
      </c>
      <c r="Q27" s="178">
        <f t="shared" si="1"/>
        <v>478.13600000000008</v>
      </c>
      <c r="R27" s="179" t="s">
        <v>47</v>
      </c>
      <c r="S27" s="180">
        <f>Q27-$Q$79</f>
        <v>303.18700000000007</v>
      </c>
      <c r="T27" s="180">
        <f t="shared" si="3"/>
        <v>61.456004900000011</v>
      </c>
      <c r="U27" s="178"/>
      <c r="V27" s="175">
        <f>T27/$U$24</f>
        <v>0.19992917694253737</v>
      </c>
      <c r="W27" s="181">
        <f>V27*$D$24</f>
        <v>1.0196388024069405E-2</v>
      </c>
      <c r="X27" s="182">
        <f t="shared" si="5"/>
        <v>3.3630690049604381E-2</v>
      </c>
      <c r="Y27" s="180"/>
      <c r="Z27" s="185">
        <f>SUM(X24:X27)</f>
        <v>0.16591361642626729</v>
      </c>
      <c r="AA27" s="175" t="s">
        <v>35</v>
      </c>
      <c r="AB27" s="186">
        <f>SUM(W24:W27)</f>
        <v>5.0999999999999997E-2</v>
      </c>
      <c r="AC27" s="175"/>
      <c r="AD27" s="175">
        <f t="shared" si="6"/>
        <v>1.6080043617557643E-2</v>
      </c>
      <c r="AE27" s="175">
        <f>SUM(AD24:AD27)</f>
        <v>8.0026421280159035E-2</v>
      </c>
      <c r="AF27" s="187">
        <f>AE27-AD79</f>
        <v>5.0999999999999997E-2</v>
      </c>
      <c r="AG27" s="30"/>
    </row>
    <row r="28" spans="2:37" x14ac:dyDescent="0.2">
      <c r="B28" s="276" t="s">
        <v>401</v>
      </c>
      <c r="C28" s="189" t="s">
        <v>41</v>
      </c>
      <c r="D28" s="339">
        <v>0.127</v>
      </c>
      <c r="E28" s="345">
        <v>0.2</v>
      </c>
      <c r="F28" s="191">
        <f t="shared" si="0"/>
        <v>7.8497571973755134E-2</v>
      </c>
      <c r="G28" s="189" t="s">
        <v>40</v>
      </c>
      <c r="H28" s="189" t="s">
        <v>208</v>
      </c>
      <c r="I28" s="189" t="s">
        <v>41</v>
      </c>
      <c r="J28" s="189" t="s">
        <v>70</v>
      </c>
      <c r="K28" s="189">
        <v>9</v>
      </c>
      <c r="L28" s="189">
        <v>12</v>
      </c>
      <c r="M28" s="189">
        <v>3</v>
      </c>
      <c r="N28" s="189">
        <v>14</v>
      </c>
      <c r="O28" s="189">
        <v>3</v>
      </c>
      <c r="P28" s="192">
        <v>0</v>
      </c>
      <c r="Q28" s="192">
        <f t="shared" si="1"/>
        <v>479.12400000000002</v>
      </c>
      <c r="R28" s="193" t="s">
        <v>47</v>
      </c>
      <c r="S28" s="194">
        <f>Q28-$Q$80</f>
        <v>304.17500000000001</v>
      </c>
      <c r="T28" s="194">
        <f t="shared" si="3"/>
        <v>60.835000000000008</v>
      </c>
      <c r="U28" s="189">
        <f>SUM(T28:T31)</f>
        <v>323.57688730158731</v>
      </c>
      <c r="V28" s="189">
        <f>T28/$U$28</f>
        <v>0.18800786578832257</v>
      </c>
      <c r="W28" s="195">
        <f>V28*$D$28</f>
        <v>2.3876998955116968E-2</v>
      </c>
      <c r="X28" s="196">
        <f t="shared" si="5"/>
        <v>7.8497571973755134E-2</v>
      </c>
      <c r="Y28" s="194"/>
      <c r="Z28" s="194"/>
      <c r="AA28" s="189"/>
      <c r="AB28" s="197"/>
      <c r="AC28" s="189"/>
      <c r="AD28" s="189">
        <f t="shared" si="6"/>
        <v>3.7610070674353457E-2</v>
      </c>
      <c r="AE28" s="189"/>
      <c r="AF28" s="201"/>
    </row>
    <row r="29" spans="2:37" x14ac:dyDescent="0.2">
      <c r="B29" s="276" t="s">
        <v>401</v>
      </c>
      <c r="C29" s="189"/>
      <c r="D29" s="272"/>
      <c r="E29" s="345">
        <v>0.32222222222222224</v>
      </c>
      <c r="F29" s="191">
        <f t="shared" si="0"/>
        <v>0.12646831040216105</v>
      </c>
      <c r="G29" s="189" t="s">
        <v>42</v>
      </c>
      <c r="H29" s="189" t="s">
        <v>208</v>
      </c>
      <c r="I29" s="189" t="s">
        <v>41</v>
      </c>
      <c r="J29" s="189" t="s">
        <v>78</v>
      </c>
      <c r="K29" s="189">
        <v>10</v>
      </c>
      <c r="L29" s="189">
        <v>12</v>
      </c>
      <c r="M29" s="189">
        <v>5</v>
      </c>
      <c r="N29" s="189">
        <v>14</v>
      </c>
      <c r="O29" s="189">
        <v>3</v>
      </c>
      <c r="P29" s="192">
        <v>0</v>
      </c>
      <c r="Q29" s="192">
        <f t="shared" si="1"/>
        <v>519.149</v>
      </c>
      <c r="R29" s="193" t="s">
        <v>47</v>
      </c>
      <c r="S29" s="194">
        <f>Q29-$Q$80</f>
        <v>344.2</v>
      </c>
      <c r="T29" s="194">
        <f t="shared" si="3"/>
        <v>110.9088888888889</v>
      </c>
      <c r="U29" s="192"/>
      <c r="V29" s="189">
        <f>T29/$U$28</f>
        <v>0.34275899559388845</v>
      </c>
      <c r="W29" s="195">
        <f>V29*$D$28</f>
        <v>4.353039244042383E-2</v>
      </c>
      <c r="X29" s="196">
        <f t="shared" si="5"/>
        <v>0.12646831040216105</v>
      </c>
      <c r="Y29" s="194"/>
      <c r="Z29" s="194"/>
      <c r="AA29" s="189"/>
      <c r="AB29" s="197"/>
      <c r="AC29" s="189"/>
      <c r="AD29" s="189">
        <f t="shared" si="6"/>
        <v>6.5655896876971515E-2</v>
      </c>
      <c r="AE29" s="189"/>
      <c r="AF29" s="201"/>
    </row>
    <row r="30" spans="2:37" x14ac:dyDescent="0.2">
      <c r="B30" s="276" t="s">
        <v>401</v>
      </c>
      <c r="C30" s="189"/>
      <c r="D30" s="189"/>
      <c r="E30" s="345">
        <v>0.21587301587301588</v>
      </c>
      <c r="F30" s="191">
        <f t="shared" si="0"/>
        <v>8.4727538003418229E-2</v>
      </c>
      <c r="G30" s="189" t="s">
        <v>43</v>
      </c>
      <c r="H30" s="189" t="s">
        <v>208</v>
      </c>
      <c r="I30" s="189" t="s">
        <v>41</v>
      </c>
      <c r="J30" s="189" t="s">
        <v>99</v>
      </c>
      <c r="K30" s="189">
        <v>9</v>
      </c>
      <c r="L30" s="189">
        <v>11</v>
      </c>
      <c r="M30" s="189">
        <v>2</v>
      </c>
      <c r="N30" s="189">
        <v>15</v>
      </c>
      <c r="O30" s="189">
        <v>3</v>
      </c>
      <c r="P30" s="192">
        <v>0</v>
      </c>
      <c r="Q30" s="192">
        <f t="shared" si="1"/>
        <v>480.10800000000006</v>
      </c>
      <c r="R30" s="193" t="s">
        <v>47</v>
      </c>
      <c r="S30" s="194">
        <f>Q30-$Q$80</f>
        <v>305.15900000000005</v>
      </c>
      <c r="T30" s="194">
        <f t="shared" si="3"/>
        <v>65.875593650793661</v>
      </c>
      <c r="U30" s="192"/>
      <c r="V30" s="189">
        <f>T30/$U$28</f>
        <v>0.20358559661090636</v>
      </c>
      <c r="W30" s="195">
        <f>V30*$D$28</f>
        <v>2.5855370769585106E-2</v>
      </c>
      <c r="X30" s="196">
        <f t="shared" si="5"/>
        <v>8.4727538003418229E-2</v>
      </c>
      <c r="Y30" s="194"/>
      <c r="Z30" s="194"/>
      <c r="AA30" s="189"/>
      <c r="AB30" s="197"/>
      <c r="AC30" s="189"/>
      <c r="AD30" s="189">
        <f t="shared" si="6"/>
        <v>4.0678368815745124E-2</v>
      </c>
      <c r="AE30" s="189"/>
      <c r="AF30" s="201"/>
    </row>
    <row r="31" spans="2:37" x14ac:dyDescent="0.2">
      <c r="B31" s="276" t="s">
        <v>401</v>
      </c>
      <c r="C31" s="189"/>
      <c r="D31" s="189"/>
      <c r="E31" s="345">
        <v>0.26190476190476192</v>
      </c>
      <c r="F31" s="191">
        <f t="shared" si="0"/>
        <v>0.10279443948944125</v>
      </c>
      <c r="G31" s="189" t="s">
        <v>167</v>
      </c>
      <c r="H31" s="189" t="s">
        <v>208</v>
      </c>
      <c r="I31" s="194" t="s">
        <v>535</v>
      </c>
      <c r="J31" s="189" t="s">
        <v>68</v>
      </c>
      <c r="K31" s="189">
        <v>10</v>
      </c>
      <c r="L31" s="189">
        <v>12</v>
      </c>
      <c r="M31" s="189">
        <v>5</v>
      </c>
      <c r="N31" s="189">
        <v>13</v>
      </c>
      <c r="O31" s="189">
        <v>3</v>
      </c>
      <c r="P31" s="192">
        <v>0</v>
      </c>
      <c r="Q31" s="192">
        <f t="shared" si="1"/>
        <v>503.15</v>
      </c>
      <c r="R31" s="193" t="s">
        <v>47</v>
      </c>
      <c r="S31" s="194">
        <f>Q31-$Q$80</f>
        <v>328.20099999999996</v>
      </c>
      <c r="T31" s="194">
        <f t="shared" si="3"/>
        <v>85.957404761904755</v>
      </c>
      <c r="U31" s="192"/>
      <c r="V31" s="189">
        <f>T31/$U$28</f>
        <v>0.26564754200688268</v>
      </c>
      <c r="W31" s="195">
        <f>V31*$D$28</f>
        <v>3.3737237834874104E-2</v>
      </c>
      <c r="X31" s="196">
        <f t="shared" si="5"/>
        <v>0.10279443948944125</v>
      </c>
      <c r="Y31" s="194"/>
      <c r="Z31" s="199">
        <f>SUM(X28:X31)</f>
        <v>0.39248785986877566</v>
      </c>
      <c r="AA31" s="189" t="s">
        <v>41</v>
      </c>
      <c r="AB31" s="200">
        <f>SUM(W28:W31)</f>
        <v>0.127</v>
      </c>
      <c r="AC31" s="189"/>
      <c r="AD31" s="189">
        <f t="shared" si="6"/>
        <v>5.1721022229112366E-2</v>
      </c>
      <c r="AE31" s="189">
        <f>SUM(AD28:AD31)</f>
        <v>0.19566535859618248</v>
      </c>
      <c r="AF31" s="201">
        <f>AE31-AD80</f>
        <v>0.12700000000000003</v>
      </c>
      <c r="AG31" s="30"/>
    </row>
    <row r="32" spans="2:37" x14ac:dyDescent="0.2">
      <c r="B32" s="278" t="s">
        <v>402</v>
      </c>
      <c r="C32" s="203" t="s">
        <v>49</v>
      </c>
      <c r="D32" s="341">
        <v>3.1E-2</v>
      </c>
      <c r="E32" s="346">
        <v>1</v>
      </c>
      <c r="F32" s="204">
        <f t="shared" si="0"/>
        <v>1.6377437596679714E-2</v>
      </c>
      <c r="G32" s="205" t="s">
        <v>344</v>
      </c>
      <c r="H32" s="205" t="s">
        <v>209</v>
      </c>
      <c r="I32" s="205" t="s">
        <v>49</v>
      </c>
      <c r="J32" s="203" t="s">
        <v>345</v>
      </c>
      <c r="K32" s="203">
        <v>77</v>
      </c>
      <c r="L32" s="203">
        <v>117</v>
      </c>
      <c r="M32" s="203">
        <v>15</v>
      </c>
      <c r="N32" s="206">
        <v>40</v>
      </c>
      <c r="O32" s="206">
        <v>0</v>
      </c>
      <c r="P32" s="206">
        <v>0</v>
      </c>
      <c r="Q32" s="206">
        <f t="shared" si="1"/>
        <v>1892.848</v>
      </c>
      <c r="R32" s="207" t="s">
        <v>135</v>
      </c>
      <c r="S32" s="206">
        <f t="shared" ref="S32:S35" si="8">Q32</f>
        <v>1892.848</v>
      </c>
      <c r="T32" s="206">
        <f t="shared" si="3"/>
        <v>1892.848</v>
      </c>
      <c r="U32" s="203">
        <f>SUM(T32:T32)</f>
        <v>1892.848</v>
      </c>
      <c r="V32" s="206">
        <f>T32/$U$32</f>
        <v>1</v>
      </c>
      <c r="W32" s="208">
        <f>V32*$D$32</f>
        <v>3.1E-2</v>
      </c>
      <c r="X32" s="209">
        <f t="shared" si="5"/>
        <v>1.6377437596679714E-2</v>
      </c>
      <c r="Y32" s="205"/>
      <c r="Z32" s="210">
        <f>SUM(X32:X32)</f>
        <v>1.6377437596679714E-2</v>
      </c>
      <c r="AA32" s="203" t="s">
        <v>49</v>
      </c>
      <c r="AB32" s="211">
        <f>SUM(W32:W32)</f>
        <v>3.1E-2</v>
      </c>
      <c r="AC32" s="203"/>
      <c r="AD32" s="203">
        <f t="shared" si="6"/>
        <v>3.1000000000000003E-2</v>
      </c>
      <c r="AE32" s="203"/>
      <c r="AF32" s="212">
        <f>SUM(AD32:AD32)</f>
        <v>3.1000000000000003E-2</v>
      </c>
    </row>
    <row r="33" spans="1:32" x14ac:dyDescent="0.2">
      <c r="A33" s="245"/>
      <c r="B33" s="317" t="s">
        <v>403</v>
      </c>
      <c r="C33" s="213" t="s">
        <v>106</v>
      </c>
      <c r="D33" s="337">
        <v>4.2999999999999997E-2</v>
      </c>
      <c r="E33" s="337">
        <v>1</v>
      </c>
      <c r="F33" s="214">
        <f t="shared" si="0"/>
        <v>2.3369146096836307E-2</v>
      </c>
      <c r="G33" s="337" t="s">
        <v>346</v>
      </c>
      <c r="H33" s="213" t="s">
        <v>210</v>
      </c>
      <c r="I33" s="213" t="s">
        <v>106</v>
      </c>
      <c r="J33" s="337" t="s">
        <v>347</v>
      </c>
      <c r="K33" s="337">
        <v>84</v>
      </c>
      <c r="L33" s="337">
        <v>148</v>
      </c>
      <c r="M33" s="337">
        <v>2</v>
      </c>
      <c r="N33" s="338">
        <v>37</v>
      </c>
      <c r="O33" s="338">
        <v>2</v>
      </c>
      <c r="P33" s="338">
        <v>0</v>
      </c>
      <c r="Q33" s="215">
        <f>(K33*12.011)+(L33*1.008)+(N33*15.999)+(14.007*M33)+(O33*30.974)+(P33*32.066)</f>
        <v>1840.0329999999999</v>
      </c>
      <c r="R33" s="216" t="s">
        <v>135</v>
      </c>
      <c r="S33" s="216">
        <f t="shared" si="8"/>
        <v>1840.0329999999999</v>
      </c>
      <c r="T33" s="216">
        <f t="shared" si="3"/>
        <v>1840.0329999999999</v>
      </c>
      <c r="U33" s="216">
        <f>SUM(T33)</f>
        <v>1840.0329999999999</v>
      </c>
      <c r="V33" s="216">
        <f>T33/$U$33</f>
        <v>1</v>
      </c>
      <c r="W33" s="217">
        <f>V33*$D$33</f>
        <v>4.2999999999999997E-2</v>
      </c>
      <c r="X33" s="216">
        <f>W33/S33*1000</f>
        <v>2.3369146096836307E-2</v>
      </c>
      <c r="Y33" s="216"/>
      <c r="Z33" s="218">
        <f>SUM(X33)</f>
        <v>2.3369146096836307E-2</v>
      </c>
      <c r="AA33" s="216" t="s">
        <v>106</v>
      </c>
      <c r="AB33" s="218">
        <f>SUM(W33)</f>
        <v>4.2999999999999997E-2</v>
      </c>
      <c r="AC33" s="213"/>
      <c r="AD33" s="213">
        <f t="shared" si="6"/>
        <v>4.2999999999999997E-2</v>
      </c>
      <c r="AE33" s="213"/>
      <c r="AF33" s="219">
        <f>AD33</f>
        <v>4.2999999999999997E-2</v>
      </c>
    </row>
    <row r="34" spans="1:32" x14ac:dyDescent="0.2">
      <c r="A34" s="319"/>
      <c r="B34" s="366" t="s">
        <v>528</v>
      </c>
      <c r="C34" s="220" t="s">
        <v>39</v>
      </c>
      <c r="D34" s="342">
        <v>0.155</v>
      </c>
      <c r="E34" s="367">
        <v>0.46700000000000003</v>
      </c>
      <c r="F34" s="221">
        <f>X34</f>
        <v>0.10493272314236043</v>
      </c>
      <c r="G34" s="220" t="s">
        <v>157</v>
      </c>
      <c r="H34" s="220" t="s">
        <v>211</v>
      </c>
      <c r="I34" s="220" t="s">
        <v>39</v>
      </c>
      <c r="J34" s="220" t="s">
        <v>527</v>
      </c>
      <c r="K34" s="220">
        <v>37</v>
      </c>
      <c r="L34" s="220">
        <v>74</v>
      </c>
      <c r="M34" s="220">
        <v>1</v>
      </c>
      <c r="N34" s="220">
        <v>8</v>
      </c>
      <c r="O34" s="220">
        <v>1</v>
      </c>
      <c r="P34" s="220">
        <v>0</v>
      </c>
      <c r="Q34" s="220">
        <f t="shared" ref="Q34" si="9">(K34*12.011)+(L34*1.008)+(N34*15.999)+(14.007*M34)+(O34*30.974)+(P34*32.066)</f>
        <v>691.97199999999998</v>
      </c>
      <c r="R34" s="222" t="s">
        <v>135</v>
      </c>
      <c r="S34" s="222">
        <f t="shared" si="8"/>
        <v>691.97199999999998</v>
      </c>
      <c r="T34" s="222">
        <f t="shared" si="3"/>
        <v>323.15092400000003</v>
      </c>
      <c r="U34" s="222">
        <f>SUM(T34:T35)</f>
        <v>689.82294400000001</v>
      </c>
      <c r="V34" s="222">
        <f t="shared" ref="V34:V35" si="10">T34/$U$34</f>
        <v>0.46845487934364799</v>
      </c>
      <c r="W34" s="223">
        <f t="shared" ref="W34:W35" si="11">V34*$D$34</f>
        <v>7.2610506298265431E-2</v>
      </c>
      <c r="X34" s="224">
        <f t="shared" ref="X34:X35" si="12">W34/S34*1000</f>
        <v>0.10493272314236043</v>
      </c>
      <c r="Y34" s="222"/>
      <c r="Z34" s="222"/>
      <c r="AA34" s="222"/>
      <c r="AB34" s="222"/>
      <c r="AC34" s="220"/>
      <c r="AD34" s="220">
        <f t="shared" si="6"/>
        <v>7.2610506298265431E-2</v>
      </c>
      <c r="AE34" s="220"/>
      <c r="AF34" s="225"/>
    </row>
    <row r="35" spans="1:32" x14ac:dyDescent="0.2">
      <c r="A35" s="319"/>
      <c r="B35" s="366" t="s">
        <v>528</v>
      </c>
      <c r="C35" s="281" t="s">
        <v>413</v>
      </c>
      <c r="D35" s="273"/>
      <c r="E35" s="367">
        <v>0.53300000000000003</v>
      </c>
      <c r="F35" s="221">
        <f t="shared" ref="F35" si="13">X35</f>
        <v>0.11976261549224435</v>
      </c>
      <c r="G35" s="220" t="s">
        <v>158</v>
      </c>
      <c r="H35" s="220" t="s">
        <v>211</v>
      </c>
      <c r="I35" s="220" t="s">
        <v>39</v>
      </c>
      <c r="J35" s="220" t="s">
        <v>199</v>
      </c>
      <c r="K35" s="220">
        <v>37</v>
      </c>
      <c r="L35" s="220">
        <v>70</v>
      </c>
      <c r="M35" s="220">
        <v>1</v>
      </c>
      <c r="N35" s="220">
        <v>8</v>
      </c>
      <c r="O35" s="220">
        <v>1</v>
      </c>
      <c r="P35" s="220">
        <v>0</v>
      </c>
      <c r="Q35" s="220">
        <f t="shared" ref="Q35" si="14">(K35*12.011)+(L35*1.008)+(N35*15.999)+(14.007*M35)+(O35*30.974)+(P35*32.066)</f>
        <v>687.93999999999994</v>
      </c>
      <c r="R35" s="222" t="s">
        <v>135</v>
      </c>
      <c r="S35" s="222">
        <f t="shared" si="8"/>
        <v>687.93999999999994</v>
      </c>
      <c r="T35" s="222">
        <f t="shared" si="3"/>
        <v>366.67201999999997</v>
      </c>
      <c r="U35" s="222"/>
      <c r="V35" s="222">
        <f t="shared" si="10"/>
        <v>0.53154512065635207</v>
      </c>
      <c r="W35" s="223">
        <f t="shared" si="11"/>
        <v>8.2389493701734567E-2</v>
      </c>
      <c r="X35" s="224">
        <f t="shared" si="12"/>
        <v>0.11976261549224435</v>
      </c>
      <c r="Y35" s="222"/>
      <c r="Z35" s="226">
        <f>SUM(X34:X35)</f>
        <v>0.22469533863460478</v>
      </c>
      <c r="AA35" s="222" t="s">
        <v>39</v>
      </c>
      <c r="AB35" s="223">
        <f>SUM(W34:W35)</f>
        <v>0.155</v>
      </c>
      <c r="AC35" s="220"/>
      <c r="AD35" s="220">
        <f t="shared" si="6"/>
        <v>8.2389493701734567E-2</v>
      </c>
      <c r="AE35" s="220"/>
      <c r="AF35" s="225">
        <f>SUM(AD34:AD35)</f>
        <v>0.155</v>
      </c>
    </row>
    <row r="36" spans="1:32" x14ac:dyDescent="0.2">
      <c r="A36" s="319"/>
      <c r="B36" s="318" t="s">
        <v>407</v>
      </c>
      <c r="C36" s="227" t="s">
        <v>176</v>
      </c>
      <c r="D36" s="340">
        <v>0.01</v>
      </c>
      <c r="E36" s="347">
        <f>VLOOKUP(G36,ion!F:G,2,0)</f>
        <v>0.75848747484349888</v>
      </c>
      <c r="F36" s="228">
        <f t="shared" si="0"/>
        <v>0.18928474618776825</v>
      </c>
      <c r="G36" s="227" t="s">
        <v>175</v>
      </c>
      <c r="H36" s="227" t="s">
        <v>208</v>
      </c>
      <c r="I36" s="227" t="s">
        <v>176</v>
      </c>
      <c r="J36" s="227" t="s">
        <v>186</v>
      </c>
      <c r="K36" s="227"/>
      <c r="L36" s="227"/>
      <c r="M36" s="227"/>
      <c r="N36" s="227"/>
      <c r="O36" s="227"/>
      <c r="P36" s="227"/>
      <c r="Q36" s="227">
        <v>38.963700000000003</v>
      </c>
      <c r="R36" s="229" t="s">
        <v>135</v>
      </c>
      <c r="S36" s="229">
        <f>Q36</f>
        <v>38.963700000000003</v>
      </c>
      <c r="T36" s="229">
        <f t="shared" ref="T36:T53" si="15">E36*S36</f>
        <v>29.553478423559639</v>
      </c>
      <c r="U36" s="229">
        <f>SUM(T36:T53)</f>
        <v>40.071241350377399</v>
      </c>
      <c r="V36" s="229">
        <f>T36/$U$36</f>
        <v>0.73752340650363457</v>
      </c>
      <c r="W36" s="230">
        <f>V36*$D$36</f>
        <v>7.3752340650363457E-3</v>
      </c>
      <c r="X36" s="231">
        <f>W36/S36*1000</f>
        <v>0.18928474618776825</v>
      </c>
      <c r="Y36" s="229"/>
      <c r="Z36" s="232"/>
      <c r="AA36" s="227"/>
      <c r="AB36" s="227"/>
      <c r="AC36" s="227"/>
      <c r="AD36" s="227">
        <f t="shared" ref="AD36:AD71" si="16">(F36*Q36)/1000</f>
        <v>7.3752340650363457E-3</v>
      </c>
      <c r="AE36" s="227"/>
      <c r="AF36" s="233"/>
    </row>
    <row r="37" spans="1:32" x14ac:dyDescent="0.2">
      <c r="A37" s="319"/>
      <c r="B37" s="318" t="s">
        <v>407</v>
      </c>
      <c r="C37" s="280" t="s">
        <v>413</v>
      </c>
      <c r="D37" s="227"/>
      <c r="E37" s="347">
        <f>VLOOKUP(G37,ion!F:G,2,0)</f>
        <v>5.0565831656233254E-2</v>
      </c>
      <c r="F37" s="228">
        <f t="shared" si="0"/>
        <v>1.2618983079184548E-2</v>
      </c>
      <c r="G37" s="227" t="s">
        <v>177</v>
      </c>
      <c r="H37" s="227" t="s">
        <v>208</v>
      </c>
      <c r="I37" s="227" t="s">
        <v>176</v>
      </c>
      <c r="J37" s="227" t="s">
        <v>187</v>
      </c>
      <c r="K37" s="227">
        <v>0</v>
      </c>
      <c r="L37" s="227">
        <v>4</v>
      </c>
      <c r="M37" s="227">
        <v>1</v>
      </c>
      <c r="N37" s="227">
        <v>0</v>
      </c>
      <c r="O37" s="227">
        <v>0</v>
      </c>
      <c r="P37" s="227">
        <v>0</v>
      </c>
      <c r="Q37" s="227">
        <f>(K37*12.011)+(L37*1.008)+(N37*15.999)+(14.007*M37)+(O37*30.974)+(P37*32.066)</f>
        <v>18.039000000000001</v>
      </c>
      <c r="R37" s="229" t="s">
        <v>135</v>
      </c>
      <c r="S37" s="229">
        <f t="shared" ref="S37:S53" si="17">Q37</f>
        <v>18.039000000000001</v>
      </c>
      <c r="T37" s="229">
        <f t="shared" si="15"/>
        <v>0.91215703724679176</v>
      </c>
      <c r="U37" s="229"/>
      <c r="V37" s="229">
        <f t="shared" ref="V37:V50" si="18">T37/$U$36</f>
        <v>2.2763383576541008E-2</v>
      </c>
      <c r="W37" s="230">
        <f t="shared" ref="W37:W53" si="19">V37*$D$36</f>
        <v>2.2763383576541009E-4</v>
      </c>
      <c r="X37" s="231">
        <f t="shared" ref="X37:X50" si="20">W37/S37*1000</f>
        <v>1.2618983079184548E-2</v>
      </c>
      <c r="Y37" s="229"/>
      <c r="Z37" s="232"/>
      <c r="AA37" s="229"/>
      <c r="AB37" s="232"/>
      <c r="AC37" s="227"/>
      <c r="AD37" s="227">
        <f t="shared" si="16"/>
        <v>2.2763383576541007E-4</v>
      </c>
      <c r="AE37" s="227"/>
      <c r="AF37" s="233"/>
    </row>
    <row r="38" spans="1:32" x14ac:dyDescent="0.2">
      <c r="A38" s="319"/>
      <c r="B38" s="318" t="s">
        <v>407</v>
      </c>
      <c r="C38" s="280" t="s">
        <v>413</v>
      </c>
      <c r="D38" s="227"/>
      <c r="E38" s="347">
        <f>VLOOKUP(G38,ion!F:G,2,0)</f>
        <v>3.3710554437488834E-2</v>
      </c>
      <c r="F38" s="228">
        <f t="shared" si="0"/>
        <v>8.4126553861230326E-3</v>
      </c>
      <c r="G38" s="227" t="s">
        <v>179</v>
      </c>
      <c r="H38" s="227" t="s">
        <v>208</v>
      </c>
      <c r="I38" s="227" t="s">
        <v>176</v>
      </c>
      <c r="J38" s="227" t="s">
        <v>188</v>
      </c>
      <c r="K38" s="227"/>
      <c r="L38" s="227"/>
      <c r="M38" s="227"/>
      <c r="N38" s="227"/>
      <c r="O38" s="227"/>
      <c r="P38" s="227"/>
      <c r="Q38" s="227">
        <v>23.984999999999999</v>
      </c>
      <c r="R38" s="229" t="s">
        <v>135</v>
      </c>
      <c r="S38" s="229">
        <f t="shared" si="17"/>
        <v>23.984999999999999</v>
      </c>
      <c r="T38" s="229">
        <f t="shared" si="15"/>
        <v>0.80854764818316971</v>
      </c>
      <c r="U38" s="229"/>
      <c r="V38" s="229">
        <f t="shared" si="18"/>
        <v>2.0177753943616091E-2</v>
      </c>
      <c r="W38" s="230">
        <f t="shared" si="19"/>
        <v>2.017775394361609E-4</v>
      </c>
      <c r="X38" s="231">
        <f t="shared" si="20"/>
        <v>8.4126553861230326E-3</v>
      </c>
      <c r="Y38" s="229"/>
      <c r="Z38" s="232"/>
      <c r="AA38" s="229"/>
      <c r="AB38" s="232"/>
      <c r="AC38" s="227"/>
      <c r="AD38" s="227">
        <f t="shared" si="16"/>
        <v>2.0177753943616096E-4</v>
      </c>
      <c r="AE38" s="227"/>
      <c r="AF38" s="233"/>
    </row>
    <row r="39" spans="1:32" x14ac:dyDescent="0.2">
      <c r="A39" s="319"/>
      <c r="B39" s="279" t="s">
        <v>407</v>
      </c>
      <c r="C39" s="280" t="s">
        <v>413</v>
      </c>
      <c r="D39" s="227"/>
      <c r="E39" s="347">
        <f>VLOOKUP(G39,ion!F:G,2,0)</f>
        <v>2.0226332662493303E-2</v>
      </c>
      <c r="F39" s="228">
        <f t="shared" si="0"/>
        <v>5.0475932316738194E-3</v>
      </c>
      <c r="G39" s="227" t="s">
        <v>178</v>
      </c>
      <c r="H39" s="227" t="s">
        <v>208</v>
      </c>
      <c r="I39" s="227" t="s">
        <v>176</v>
      </c>
      <c r="J39" s="227" t="s">
        <v>189</v>
      </c>
      <c r="K39" s="227"/>
      <c r="L39" s="227"/>
      <c r="M39" s="227"/>
      <c r="N39" s="227"/>
      <c r="O39" s="227"/>
      <c r="P39" s="227"/>
      <c r="Q39" s="227">
        <v>39.962600000000002</v>
      </c>
      <c r="R39" s="229" t="s">
        <v>135</v>
      </c>
      <c r="S39" s="229">
        <f t="shared" si="17"/>
        <v>39.962600000000002</v>
      </c>
      <c r="T39" s="229">
        <f t="shared" si="15"/>
        <v>0.80829684165815485</v>
      </c>
      <c r="U39" s="229"/>
      <c r="V39" s="229">
        <f t="shared" si="18"/>
        <v>2.0171494928008817E-2</v>
      </c>
      <c r="W39" s="230">
        <f t="shared" si="19"/>
        <v>2.0171494928008818E-4</v>
      </c>
      <c r="X39" s="231">
        <f t="shared" si="20"/>
        <v>5.0475932316738194E-3</v>
      </c>
      <c r="Y39" s="229"/>
      <c r="Z39" s="232"/>
      <c r="AA39" s="229"/>
      <c r="AB39" s="232"/>
      <c r="AC39" s="227"/>
      <c r="AD39" s="227">
        <f t="shared" si="16"/>
        <v>2.0171494928008818E-4</v>
      </c>
      <c r="AE39" s="227"/>
      <c r="AF39" s="233"/>
    </row>
    <row r="40" spans="1:32" x14ac:dyDescent="0.2">
      <c r="A40" s="319"/>
      <c r="B40" s="279" t="s">
        <v>407</v>
      </c>
      <c r="C40" s="280" t="s">
        <v>413</v>
      </c>
      <c r="D40" s="227"/>
      <c r="E40" s="347">
        <f>VLOOKUP(G40,ion!F:G,2,0)</f>
        <v>5.643146812835631E-2</v>
      </c>
      <c r="F40" s="228">
        <f t="shared" si="0"/>
        <v>1.4082785116369954E-2</v>
      </c>
      <c r="G40" s="227" t="s">
        <v>180</v>
      </c>
      <c r="H40" s="227" t="s">
        <v>208</v>
      </c>
      <c r="I40" s="227" t="s">
        <v>176</v>
      </c>
      <c r="J40" s="227" t="s">
        <v>190</v>
      </c>
      <c r="K40" s="227"/>
      <c r="L40" s="227"/>
      <c r="M40" s="340"/>
      <c r="N40" s="227"/>
      <c r="O40" s="227"/>
      <c r="P40" s="227"/>
      <c r="Q40" s="227">
        <v>55.934899999999999</v>
      </c>
      <c r="R40" s="229" t="s">
        <v>135</v>
      </c>
      <c r="S40" s="229">
        <f t="shared" si="17"/>
        <v>55.934899999999999</v>
      </c>
      <c r="T40" s="229">
        <f t="shared" si="15"/>
        <v>3.1564885266127973</v>
      </c>
      <c r="U40" s="229"/>
      <c r="V40" s="229">
        <f t="shared" si="18"/>
        <v>7.8771917720564175E-2</v>
      </c>
      <c r="W40" s="230">
        <f t="shared" si="19"/>
        <v>7.8771917720564175E-4</v>
      </c>
      <c r="X40" s="231">
        <f t="shared" si="20"/>
        <v>1.4082785116369954E-2</v>
      </c>
      <c r="Y40" s="229"/>
      <c r="Z40" s="232"/>
      <c r="AA40" s="229"/>
      <c r="AB40" s="232"/>
      <c r="AC40" s="227"/>
      <c r="AD40" s="227">
        <f t="shared" si="16"/>
        <v>7.8771917720564175E-4</v>
      </c>
      <c r="AE40" s="227"/>
      <c r="AF40" s="233"/>
    </row>
    <row r="41" spans="1:32" x14ac:dyDescent="0.2">
      <c r="A41" s="319"/>
      <c r="B41" s="279" t="s">
        <v>407</v>
      </c>
      <c r="C41" s="280" t="s">
        <v>413</v>
      </c>
      <c r="D41" s="227"/>
      <c r="E41" s="347">
        <f>VLOOKUP(G41,ion!F:G,2,0)</f>
        <v>0</v>
      </c>
      <c r="F41" s="228">
        <f t="shared" si="0"/>
        <v>0</v>
      </c>
      <c r="G41" s="227" t="s">
        <v>181</v>
      </c>
      <c r="H41" s="227" t="s">
        <v>208</v>
      </c>
      <c r="I41" s="227" t="s">
        <v>176</v>
      </c>
      <c r="J41" s="227" t="s">
        <v>190</v>
      </c>
      <c r="K41" s="227"/>
      <c r="L41" s="227"/>
      <c r="M41" s="227"/>
      <c r="N41" s="227"/>
      <c r="O41" s="227"/>
      <c r="P41" s="227"/>
      <c r="Q41" s="227">
        <v>55.934899999999999</v>
      </c>
      <c r="R41" s="229" t="s">
        <v>135</v>
      </c>
      <c r="S41" s="229">
        <f t="shared" si="17"/>
        <v>55.934899999999999</v>
      </c>
      <c r="T41" s="229">
        <f t="shared" si="15"/>
        <v>0</v>
      </c>
      <c r="U41" s="229"/>
      <c r="V41" s="229">
        <f t="shared" si="18"/>
        <v>0</v>
      </c>
      <c r="W41" s="230">
        <f t="shared" si="19"/>
        <v>0</v>
      </c>
      <c r="X41" s="231">
        <f t="shared" si="20"/>
        <v>0</v>
      </c>
      <c r="Y41" s="229"/>
      <c r="Z41" s="232"/>
      <c r="AA41" s="229"/>
      <c r="AB41" s="232"/>
      <c r="AC41" s="227"/>
      <c r="AD41" s="227">
        <f t="shared" si="16"/>
        <v>0</v>
      </c>
      <c r="AE41" s="227"/>
      <c r="AF41" s="233"/>
    </row>
    <row r="42" spans="1:32" x14ac:dyDescent="0.2">
      <c r="A42" s="319"/>
      <c r="B42" s="279" t="s">
        <v>407</v>
      </c>
      <c r="C42" s="280" t="s">
        <v>413</v>
      </c>
      <c r="D42" s="227"/>
      <c r="E42" s="347">
        <f>VLOOKUP(G42,ion!F:G,2,0)</f>
        <v>2.7541522975428378E-3</v>
      </c>
      <c r="F42" s="228">
        <f t="shared" si="0"/>
        <v>6.873139450462517E-4</v>
      </c>
      <c r="G42" s="227" t="s">
        <v>321</v>
      </c>
      <c r="H42" s="227" t="s">
        <v>208</v>
      </c>
      <c r="I42" s="227" t="s">
        <v>176</v>
      </c>
      <c r="J42" s="227" t="s">
        <v>322</v>
      </c>
      <c r="K42" s="227"/>
      <c r="L42" s="227"/>
      <c r="M42" s="227"/>
      <c r="N42" s="227"/>
      <c r="O42" s="227"/>
      <c r="P42" s="227"/>
      <c r="Q42" s="227">
        <v>63.545999999999999</v>
      </c>
      <c r="R42" s="229" t="s">
        <v>135</v>
      </c>
      <c r="S42" s="229">
        <f t="shared" si="17"/>
        <v>63.545999999999999</v>
      </c>
      <c r="T42" s="229">
        <f t="shared" si="15"/>
        <v>0.17501536189965716</v>
      </c>
      <c r="U42" s="229"/>
      <c r="V42" s="229">
        <f>T42/$U$36</f>
        <v>4.3676051951909104E-3</v>
      </c>
      <c r="W42" s="230">
        <f t="shared" si="19"/>
        <v>4.3676051951909104E-5</v>
      </c>
      <c r="X42" s="231">
        <f>W42/S42*1000</f>
        <v>6.873139450462517E-4</v>
      </c>
      <c r="Y42" s="229"/>
      <c r="Z42" s="232"/>
      <c r="AA42" s="229"/>
      <c r="AB42" s="232"/>
      <c r="AC42" s="227"/>
      <c r="AD42" s="227">
        <f t="shared" si="16"/>
        <v>4.367605195190911E-5</v>
      </c>
      <c r="AE42" s="227"/>
      <c r="AF42" s="233"/>
    </row>
    <row r="43" spans="1:32" x14ac:dyDescent="0.2">
      <c r="A43" s="319"/>
      <c r="B43" s="279" t="s">
        <v>407</v>
      </c>
      <c r="C43" s="280" t="s">
        <v>413</v>
      </c>
      <c r="D43" s="227"/>
      <c r="E43" s="347">
        <f>VLOOKUP(G43,ion!F:G,2,0)</f>
        <v>2.6867311886678603E-3</v>
      </c>
      <c r="F43" s="228">
        <f t="shared" si="0"/>
        <v>6.7048863427400572E-4</v>
      </c>
      <c r="G43" s="227" t="s">
        <v>182</v>
      </c>
      <c r="H43" s="227" t="s">
        <v>208</v>
      </c>
      <c r="I43" s="227" t="s">
        <v>176</v>
      </c>
      <c r="J43" s="227" t="s">
        <v>191</v>
      </c>
      <c r="K43" s="227"/>
      <c r="L43" s="227"/>
      <c r="M43" s="227"/>
      <c r="N43" s="227"/>
      <c r="O43" s="227"/>
      <c r="P43" s="227"/>
      <c r="Q43" s="227">
        <v>54.938000000000002</v>
      </c>
      <c r="R43" s="229" t="s">
        <v>135</v>
      </c>
      <c r="S43" s="229">
        <f t="shared" si="17"/>
        <v>54.938000000000002</v>
      </c>
      <c r="T43" s="229">
        <f t="shared" si="15"/>
        <v>0.14760363804303492</v>
      </c>
      <c r="U43" s="229"/>
      <c r="V43" s="229">
        <f t="shared" si="18"/>
        <v>3.6835304589745324E-3</v>
      </c>
      <c r="W43" s="230">
        <f t="shared" si="19"/>
        <v>3.6835304589745328E-5</v>
      </c>
      <c r="X43" s="231">
        <f t="shared" si="20"/>
        <v>6.7048863427400572E-4</v>
      </c>
      <c r="Y43" s="229"/>
      <c r="Z43" s="232"/>
      <c r="AA43" s="229"/>
      <c r="AB43" s="232"/>
      <c r="AC43" s="227"/>
      <c r="AD43" s="227">
        <f t="shared" si="16"/>
        <v>3.6835304589745328E-5</v>
      </c>
      <c r="AE43" s="227"/>
      <c r="AF43" s="233"/>
    </row>
    <row r="44" spans="1:32" x14ac:dyDescent="0.2">
      <c r="A44" s="319"/>
      <c r="B44" s="279" t="s">
        <v>407</v>
      </c>
      <c r="C44" s="280"/>
      <c r="D44" s="227"/>
      <c r="E44" s="347">
        <f>VLOOKUP(G44,ion!F:G,2,0)</f>
        <v>1.3248247893933114E-3</v>
      </c>
      <c r="F44" s="228">
        <f t="shared" si="0"/>
        <v>3.306173566746352E-4</v>
      </c>
      <c r="G44" s="227" t="s">
        <v>183</v>
      </c>
      <c r="H44" s="227" t="s">
        <v>208</v>
      </c>
      <c r="I44" s="227" t="s">
        <v>176</v>
      </c>
      <c r="J44" s="238" t="s">
        <v>194</v>
      </c>
      <c r="K44" s="227"/>
      <c r="L44" s="227"/>
      <c r="M44" s="227"/>
      <c r="N44" s="227"/>
      <c r="O44" s="227"/>
      <c r="P44" s="227"/>
      <c r="Q44" s="227">
        <v>63.929099999999998</v>
      </c>
      <c r="R44" s="321" t="s">
        <v>135</v>
      </c>
      <c r="S44" s="229">
        <f t="shared" si="17"/>
        <v>63.929099999999998</v>
      </c>
      <c r="T44" s="229">
        <f t="shared" si="15"/>
        <v>8.4694856443603944E-2</v>
      </c>
      <c r="U44" s="229"/>
      <c r="V44" s="229">
        <f t="shared" si="18"/>
        <v>2.1136070056588419E-3</v>
      </c>
      <c r="W44" s="230">
        <f t="shared" si="19"/>
        <v>2.1136070056588418E-5</v>
      </c>
      <c r="X44" s="231">
        <f t="shared" si="20"/>
        <v>3.306173566746352E-4</v>
      </c>
      <c r="Y44" s="229"/>
      <c r="Z44" s="232"/>
      <c r="AA44" s="229"/>
      <c r="AB44" s="232"/>
      <c r="AC44" s="227"/>
      <c r="AD44" s="227">
        <f t="shared" si="16"/>
        <v>2.1136070056588422E-5</v>
      </c>
      <c r="AE44" s="227"/>
      <c r="AF44" s="233"/>
    </row>
    <row r="45" spans="1:32" x14ac:dyDescent="0.2">
      <c r="A45" s="319"/>
      <c r="B45" s="279" t="s">
        <v>407</v>
      </c>
      <c r="C45" s="280"/>
      <c r="D45" s="227"/>
      <c r="E45" s="347">
        <f>VLOOKUP(G45,ion!F:G,2,0)</f>
        <v>1.2540326250745847E-3</v>
      </c>
      <c r="F45" s="228">
        <f t="shared" si="0"/>
        <v>3.1295078036377673E-4</v>
      </c>
      <c r="G45" s="238" t="s">
        <v>468</v>
      </c>
      <c r="H45" s="227" t="s">
        <v>208</v>
      </c>
      <c r="I45" s="227" t="s">
        <v>176</v>
      </c>
      <c r="J45" s="238" t="s">
        <v>444</v>
      </c>
      <c r="K45" s="227"/>
      <c r="L45" s="227"/>
      <c r="M45" s="227"/>
      <c r="N45" s="227"/>
      <c r="O45" s="227"/>
      <c r="P45" s="227"/>
      <c r="Q45" s="227">
        <v>58.693399999999997</v>
      </c>
      <c r="R45" s="321" t="s">
        <v>135</v>
      </c>
      <c r="S45" s="229">
        <f t="shared" si="17"/>
        <v>58.693399999999997</v>
      </c>
      <c r="T45" s="229">
        <f t="shared" si="15"/>
        <v>7.3603438476552624E-2</v>
      </c>
      <c r="U45" s="229"/>
      <c r="V45" s="229">
        <f t="shared" si="18"/>
        <v>1.8368145332203294E-3</v>
      </c>
      <c r="W45" s="230">
        <f t="shared" si="19"/>
        <v>1.8368145332203294E-5</v>
      </c>
      <c r="X45" s="231">
        <f t="shared" si="20"/>
        <v>3.1295078036377673E-4</v>
      </c>
      <c r="Y45" s="229"/>
      <c r="Z45" s="232"/>
      <c r="AA45" s="229"/>
      <c r="AB45" s="232"/>
      <c r="AC45" s="227"/>
      <c r="AD45" s="227">
        <f t="shared" si="16"/>
        <v>1.8368145332203291E-5</v>
      </c>
      <c r="AE45" s="227"/>
      <c r="AF45" s="233"/>
    </row>
    <row r="46" spans="1:32" x14ac:dyDescent="0.2">
      <c r="A46" s="319"/>
      <c r="B46" s="279" t="s">
        <v>407</v>
      </c>
      <c r="C46" s="280" t="s">
        <v>413</v>
      </c>
      <c r="D46" s="227"/>
      <c r="E46" s="347">
        <f>VLOOKUP(G46,ion!F:G,2,0)</f>
        <v>2.6968443549991071E-5</v>
      </c>
      <c r="F46" s="228">
        <f t="shared" si="0"/>
        <v>6.7301243088984265E-6</v>
      </c>
      <c r="G46" s="227" t="s">
        <v>197</v>
      </c>
      <c r="H46" s="227" t="s">
        <v>208</v>
      </c>
      <c r="I46" s="227" t="s">
        <v>176</v>
      </c>
      <c r="J46" s="227" t="s">
        <v>198</v>
      </c>
      <c r="K46" s="227">
        <v>0</v>
      </c>
      <c r="L46" s="227">
        <v>0</v>
      </c>
      <c r="M46" s="227">
        <v>0</v>
      </c>
      <c r="N46" s="227">
        <v>4</v>
      </c>
      <c r="O46" s="227">
        <v>0</v>
      </c>
      <c r="P46" s="227">
        <v>0</v>
      </c>
      <c r="Q46" s="227">
        <f>(K46*12.011)+(L46*1.008)+(N46*15.999)+(14.007*M46)+(O46*30.974)+(P46*32.066)+95.96</f>
        <v>159.95599999999999</v>
      </c>
      <c r="R46" s="229" t="s">
        <v>135</v>
      </c>
      <c r="S46" s="229">
        <f t="shared" si="17"/>
        <v>159.95599999999999</v>
      </c>
      <c r="T46" s="229">
        <f t="shared" si="15"/>
        <v>4.3137643564823717E-3</v>
      </c>
      <c r="U46" s="229"/>
      <c r="V46" s="229">
        <f>T46/$U$36</f>
        <v>1.0765237639541565E-4</v>
      </c>
      <c r="W46" s="230">
        <f t="shared" si="19"/>
        <v>1.0765237639541567E-6</v>
      </c>
      <c r="X46" s="231">
        <f t="shared" si="20"/>
        <v>6.7301243088984265E-6</v>
      </c>
      <c r="Y46" s="229"/>
      <c r="Z46" s="232"/>
      <c r="AA46" s="229"/>
      <c r="AB46" s="232"/>
      <c r="AC46" s="227"/>
      <c r="AD46" s="227">
        <f t="shared" si="16"/>
        <v>1.0765237639541567E-6</v>
      </c>
      <c r="AE46" s="227"/>
      <c r="AF46" s="233"/>
    </row>
    <row r="47" spans="1:32" x14ac:dyDescent="0.2">
      <c r="A47" s="319"/>
      <c r="B47" s="279" t="s">
        <v>407</v>
      </c>
      <c r="C47" s="280" t="s">
        <v>413</v>
      </c>
      <c r="D47" s="227"/>
      <c r="E47" s="347">
        <f>VLOOKUP(G47,ion!F:G,2,0)</f>
        <v>9.7760607868717627E-5</v>
      </c>
      <c r="F47" s="228">
        <f t="shared" si="0"/>
        <v>2.4396700619756796E-5</v>
      </c>
      <c r="G47" s="227" t="s">
        <v>193</v>
      </c>
      <c r="H47" s="227" t="s">
        <v>208</v>
      </c>
      <c r="I47" s="227" t="s">
        <v>176</v>
      </c>
      <c r="J47" s="227" t="s">
        <v>192</v>
      </c>
      <c r="K47" s="227"/>
      <c r="L47" s="227"/>
      <c r="M47" s="227"/>
      <c r="N47" s="227"/>
      <c r="O47" s="227"/>
      <c r="P47" s="227"/>
      <c r="Q47" s="227">
        <v>58.933199999999999</v>
      </c>
      <c r="R47" s="229" t="s">
        <v>135</v>
      </c>
      <c r="S47" s="229">
        <f t="shared" si="17"/>
        <v>58.933199999999999</v>
      </c>
      <c r="T47" s="229">
        <f t="shared" si="15"/>
        <v>5.7613454556487099E-3</v>
      </c>
      <c r="U47" s="229"/>
      <c r="V47" s="229">
        <f t="shared" si="18"/>
        <v>1.4377756369642511E-4</v>
      </c>
      <c r="W47" s="230">
        <f t="shared" si="19"/>
        <v>1.4377756369642512E-6</v>
      </c>
      <c r="X47" s="231">
        <f t="shared" si="20"/>
        <v>2.4396700619756796E-5</v>
      </c>
      <c r="Y47" s="229"/>
      <c r="Z47" s="232"/>
      <c r="AA47" s="229"/>
      <c r="AB47" s="232"/>
      <c r="AC47" s="227"/>
      <c r="AD47" s="227">
        <f t="shared" si="16"/>
        <v>1.4377756369642512E-6</v>
      </c>
      <c r="AE47" s="227"/>
      <c r="AF47" s="233"/>
    </row>
    <row r="48" spans="1:32" x14ac:dyDescent="0.2">
      <c r="A48" s="319"/>
      <c r="B48" s="279" t="s">
        <v>407</v>
      </c>
      <c r="C48" s="280" t="s">
        <v>413</v>
      </c>
      <c r="D48" s="227"/>
      <c r="E48" s="347">
        <f>VLOOKUP(G48,ion!F:G,2,0)</f>
        <v>2.0226332662493303E-2</v>
      </c>
      <c r="F48" s="228">
        <f t="shared" si="0"/>
        <v>5.0475932316738185E-3</v>
      </c>
      <c r="G48" s="227" t="s">
        <v>184</v>
      </c>
      <c r="H48" s="227" t="s">
        <v>208</v>
      </c>
      <c r="I48" s="227" t="s">
        <v>176</v>
      </c>
      <c r="J48" s="227" t="s">
        <v>195</v>
      </c>
      <c r="K48" s="227"/>
      <c r="L48" s="227"/>
      <c r="M48" s="227"/>
      <c r="N48" s="227"/>
      <c r="O48" s="227"/>
      <c r="P48" s="227"/>
      <c r="Q48" s="227">
        <v>34.968899999999998</v>
      </c>
      <c r="R48" s="229" t="s">
        <v>135</v>
      </c>
      <c r="S48" s="229">
        <f t="shared" si="17"/>
        <v>34.968899999999998</v>
      </c>
      <c r="T48" s="229">
        <f t="shared" si="15"/>
        <v>0.70729260424146201</v>
      </c>
      <c r="U48" s="229"/>
      <c r="V48" s="229">
        <f t="shared" si="18"/>
        <v>1.7650878295907859E-2</v>
      </c>
      <c r="W48" s="230">
        <f t="shared" si="19"/>
        <v>1.7650878295907859E-4</v>
      </c>
      <c r="X48" s="231">
        <f t="shared" si="20"/>
        <v>5.0475932316738185E-3</v>
      </c>
      <c r="Y48" s="229"/>
      <c r="Z48" s="232"/>
      <c r="AA48" s="229"/>
      <c r="AB48" s="232"/>
      <c r="AC48" s="227"/>
      <c r="AD48" s="227">
        <f t="shared" si="16"/>
        <v>1.7650878295907856E-4</v>
      </c>
      <c r="AE48" s="227"/>
      <c r="AF48" s="233"/>
    </row>
    <row r="49" spans="1:32" x14ac:dyDescent="0.2">
      <c r="A49" s="319"/>
      <c r="B49" s="279" t="s">
        <v>407</v>
      </c>
      <c r="C49" s="280" t="s">
        <v>413</v>
      </c>
      <c r="D49" s="227"/>
      <c r="E49" s="347">
        <f>VLOOKUP(G49,ion!F:G,2,0)</f>
        <v>1.6855277218744417E-2</v>
      </c>
      <c r="F49" s="228">
        <f t="shared" si="0"/>
        <v>4.2063276930615155E-3</v>
      </c>
      <c r="G49" s="227" t="s">
        <v>185</v>
      </c>
      <c r="H49" s="227" t="s">
        <v>208</v>
      </c>
      <c r="I49" s="227" t="s">
        <v>176</v>
      </c>
      <c r="J49" s="227" t="s">
        <v>196</v>
      </c>
      <c r="K49" s="227">
        <v>0</v>
      </c>
      <c r="L49" s="227">
        <v>0</v>
      </c>
      <c r="M49" s="227">
        <v>0</v>
      </c>
      <c r="N49" s="227">
        <v>4</v>
      </c>
      <c r="O49" s="227">
        <v>0</v>
      </c>
      <c r="P49" s="227">
        <v>1</v>
      </c>
      <c r="Q49" s="227">
        <f>(K49*12.011)+(L49*1.008)+(N49*15.999)+(14.007*M49)+(O49*30.974)+(P49*32.066)</f>
        <v>96.062000000000012</v>
      </c>
      <c r="R49" s="229" t="s">
        <v>135</v>
      </c>
      <c r="S49" s="229">
        <f t="shared" si="17"/>
        <v>96.062000000000012</v>
      </c>
      <c r="T49" s="229">
        <f t="shared" si="15"/>
        <v>1.6191516401870263</v>
      </c>
      <c r="U49" s="229"/>
      <c r="V49" s="229">
        <f t="shared" si="18"/>
        <v>4.0406825085087535E-2</v>
      </c>
      <c r="W49" s="230">
        <f t="shared" si="19"/>
        <v>4.0406825085087533E-4</v>
      </c>
      <c r="X49" s="231">
        <f t="shared" si="20"/>
        <v>4.2063276930615155E-3</v>
      </c>
      <c r="Y49" s="229"/>
      <c r="Z49" s="232"/>
      <c r="AA49" s="229"/>
      <c r="AB49" s="232"/>
      <c r="AC49" s="227"/>
      <c r="AD49" s="227">
        <f t="shared" si="16"/>
        <v>4.0406825085087533E-4</v>
      </c>
      <c r="AE49" s="227"/>
      <c r="AF49" s="233"/>
    </row>
    <row r="50" spans="1:32" x14ac:dyDescent="0.2">
      <c r="A50" s="319"/>
      <c r="B50" s="279" t="s">
        <v>407</v>
      </c>
      <c r="C50" s="280" t="s">
        <v>413</v>
      </c>
      <c r="D50" s="227"/>
      <c r="E50" s="347">
        <f>VLOOKUP(G50,ion!F:G,2,0)</f>
        <v>1.6855277218744417E-2</v>
      </c>
      <c r="F50" s="228">
        <f t="shared" si="0"/>
        <v>4.2063276930615155E-3</v>
      </c>
      <c r="G50" s="227" t="s">
        <v>212</v>
      </c>
      <c r="H50" s="227" t="s">
        <v>208</v>
      </c>
      <c r="I50" s="227" t="s">
        <v>176</v>
      </c>
      <c r="J50" s="227" t="s">
        <v>89</v>
      </c>
      <c r="K50" s="227">
        <v>0</v>
      </c>
      <c r="L50" s="227">
        <v>1</v>
      </c>
      <c r="M50" s="227">
        <v>0</v>
      </c>
      <c r="N50" s="227">
        <v>4</v>
      </c>
      <c r="O50" s="227">
        <v>1</v>
      </c>
      <c r="P50" s="227">
        <v>0</v>
      </c>
      <c r="Q50" s="227">
        <f>(K50*12.011)+(L50*1.008)+(N50*15.999)+(14.007*M50)+(O50*30.974)+(P50*32.066)</f>
        <v>95.978000000000009</v>
      </c>
      <c r="R50" s="229" t="s">
        <v>135</v>
      </c>
      <c r="S50" s="229">
        <f t="shared" si="17"/>
        <v>95.978000000000009</v>
      </c>
      <c r="T50" s="229">
        <f t="shared" si="15"/>
        <v>1.6177357969006518</v>
      </c>
      <c r="U50" s="229"/>
      <c r="V50" s="229">
        <f t="shared" si="18"/>
        <v>4.0371491932465815E-2</v>
      </c>
      <c r="W50" s="230">
        <f t="shared" si="19"/>
        <v>4.0371491932465818E-4</v>
      </c>
      <c r="X50" s="231">
        <f t="shared" si="20"/>
        <v>4.2063276930615155E-3</v>
      </c>
      <c r="Y50" s="229"/>
      <c r="Z50" s="234"/>
      <c r="AA50" s="229"/>
      <c r="AB50" s="230"/>
      <c r="AC50" s="227"/>
      <c r="AD50" s="227">
        <f t="shared" si="16"/>
        <v>4.0371491932465812E-4</v>
      </c>
      <c r="AE50" s="227"/>
      <c r="AF50" s="233"/>
    </row>
    <row r="51" spans="1:32" x14ac:dyDescent="0.2">
      <c r="A51" s="319"/>
      <c r="B51" s="315" t="s">
        <v>479</v>
      </c>
      <c r="C51" s="280"/>
      <c r="D51" s="227"/>
      <c r="E51" s="347">
        <f>VLOOKUP(G51,ion!F:G,2,0)</f>
        <v>1.0113166331246651E-4</v>
      </c>
      <c r="F51" s="228">
        <f t="shared" si="0"/>
        <v>2.5237966158369094E-5</v>
      </c>
      <c r="G51" s="227" t="s">
        <v>427</v>
      </c>
      <c r="H51" s="227" t="s">
        <v>208</v>
      </c>
      <c r="I51" s="227" t="s">
        <v>176</v>
      </c>
      <c r="J51" s="227" t="s">
        <v>429</v>
      </c>
      <c r="K51" s="227">
        <v>0</v>
      </c>
      <c r="L51" s="227">
        <v>0</v>
      </c>
      <c r="M51" s="227">
        <v>0</v>
      </c>
      <c r="N51" s="227">
        <v>0</v>
      </c>
      <c r="O51" s="227">
        <v>0</v>
      </c>
      <c r="P51" s="227">
        <v>2</v>
      </c>
      <c r="Q51" s="227">
        <f>(2*32.066)+(2*55.9349)</f>
        <v>176.0018</v>
      </c>
      <c r="R51" s="229" t="s">
        <v>135</v>
      </c>
      <c r="S51" s="229">
        <f t="shared" si="17"/>
        <v>176.0018</v>
      </c>
      <c r="T51" s="229">
        <f t="shared" si="15"/>
        <v>1.7799354779988067E-2</v>
      </c>
      <c r="U51" s="229"/>
      <c r="V51" s="229">
        <f>T51/$U$36</f>
        <v>4.4419274722120455E-4</v>
      </c>
      <c r="W51" s="230">
        <f t="shared" si="19"/>
        <v>4.4419274722120457E-6</v>
      </c>
      <c r="X51" s="231">
        <f>W51/S51*1000</f>
        <v>2.5237966158369094E-5</v>
      </c>
      <c r="Y51" s="229"/>
      <c r="Z51" s="234"/>
      <c r="AA51" s="229"/>
      <c r="AB51" s="230"/>
      <c r="AC51" s="227"/>
      <c r="AD51" s="227">
        <f t="shared" si="16"/>
        <v>4.4419274722120457E-6</v>
      </c>
      <c r="AE51" s="227"/>
      <c r="AF51" s="233"/>
    </row>
    <row r="52" spans="1:32" x14ac:dyDescent="0.2">
      <c r="A52" s="319"/>
      <c r="B52" s="315" t="s">
        <v>479</v>
      </c>
      <c r="C52" s="280"/>
      <c r="D52" s="227"/>
      <c r="E52" s="347">
        <f>VLOOKUP(G52,ion!F:G,2,0)</f>
        <v>1.0113166331246651E-3</v>
      </c>
      <c r="F52" s="228">
        <f t="shared" si="0"/>
        <v>2.5237966158369094E-4</v>
      </c>
      <c r="G52" s="227" t="s">
        <v>428</v>
      </c>
      <c r="H52" s="227" t="s">
        <v>208</v>
      </c>
      <c r="I52" s="227" t="s">
        <v>176</v>
      </c>
      <c r="J52" s="227" t="s">
        <v>430</v>
      </c>
      <c r="K52" s="227">
        <v>0</v>
      </c>
      <c r="L52" s="227">
        <v>0</v>
      </c>
      <c r="M52" s="227">
        <v>0</v>
      </c>
      <c r="N52" s="227">
        <v>0</v>
      </c>
      <c r="O52" s="227">
        <v>0</v>
      </c>
      <c r="P52" s="227">
        <v>4</v>
      </c>
      <c r="Q52" s="227">
        <f>(4*32.066)+(4*55.9349)</f>
        <v>352.00360000000001</v>
      </c>
      <c r="R52" s="229" t="s">
        <v>135</v>
      </c>
      <c r="S52" s="229">
        <f t="shared" si="17"/>
        <v>352.00360000000001</v>
      </c>
      <c r="T52" s="229">
        <f t="shared" si="15"/>
        <v>0.35598709559976138</v>
      </c>
      <c r="U52" s="229"/>
      <c r="V52" s="229">
        <f>T52/$U$36</f>
        <v>8.8838549444240928E-3</v>
      </c>
      <c r="W52" s="230">
        <f t="shared" si="19"/>
        <v>8.8838549444240924E-5</v>
      </c>
      <c r="X52" s="231">
        <f>W52/S52*1000</f>
        <v>2.5237966158369094E-4</v>
      </c>
      <c r="Y52" s="229"/>
      <c r="Z52" s="234"/>
      <c r="AA52" s="229"/>
      <c r="AB52" s="230"/>
      <c r="AC52" s="227"/>
      <c r="AD52" s="227">
        <f t="shared" si="16"/>
        <v>8.8838549444240911E-5</v>
      </c>
      <c r="AE52" s="227"/>
      <c r="AF52" s="233"/>
    </row>
    <row r="53" spans="1:32" x14ac:dyDescent="0.2">
      <c r="A53" s="319"/>
      <c r="B53" s="315" t="s">
        <v>479</v>
      </c>
      <c r="C53" s="280"/>
      <c r="D53" s="227"/>
      <c r="E53" s="347">
        <f>VLOOKUP(G53,ion!F:G,2,0)</f>
        <v>2.6968443549991071E-5</v>
      </c>
      <c r="F53" s="228">
        <f t="shared" ref="F53" si="21">X53</f>
        <v>6.7301243088984265E-6</v>
      </c>
      <c r="G53" s="238" t="s">
        <v>458</v>
      </c>
      <c r="H53" s="227" t="s">
        <v>208</v>
      </c>
      <c r="I53" s="227" t="s">
        <v>176</v>
      </c>
      <c r="J53" s="238" t="s">
        <v>481</v>
      </c>
      <c r="K53" s="227">
        <v>20</v>
      </c>
      <c r="L53" s="227">
        <v>22</v>
      </c>
      <c r="M53" s="227">
        <v>10</v>
      </c>
      <c r="N53" s="227">
        <v>15</v>
      </c>
      <c r="O53" s="227">
        <v>2</v>
      </c>
      <c r="P53" s="227">
        <v>2</v>
      </c>
      <c r="Q53" s="227">
        <f t="shared" ref="Q53" si="22">(K53*12.011)+(L53*1.008)+(N53*15.999)+(14.007*M53)+(O53*30.974)+(P53*32.066)+95.96</f>
        <v>864.49099999999999</v>
      </c>
      <c r="R53" s="321" t="s">
        <v>135</v>
      </c>
      <c r="S53" s="229">
        <f t="shared" si="17"/>
        <v>864.49099999999999</v>
      </c>
      <c r="T53" s="229">
        <f t="shared" si="15"/>
        <v>2.331397673297533E-2</v>
      </c>
      <c r="U53" s="229"/>
      <c r="V53" s="229">
        <f t="shared" ref="V53" si="23">T53/$U$36</f>
        <v>5.8181318939239091E-4</v>
      </c>
      <c r="W53" s="230">
        <f t="shared" si="19"/>
        <v>5.8181318939239095E-6</v>
      </c>
      <c r="X53" s="231">
        <f t="shared" ref="X53" si="24">W53/S53*1000</f>
        <v>6.7301243088984265E-6</v>
      </c>
      <c r="Y53" s="229"/>
      <c r="Z53" s="234"/>
      <c r="AA53" s="229"/>
      <c r="AB53" s="230"/>
      <c r="AC53" s="227"/>
      <c r="AD53" s="227">
        <f t="shared" si="16"/>
        <v>5.8181318939239095E-6</v>
      </c>
      <c r="AE53" s="227"/>
      <c r="AF53" s="233">
        <f>SUM(AD36:AD53)</f>
        <v>1.0000000000000002E-2</v>
      </c>
    </row>
    <row r="54" spans="1:32" x14ac:dyDescent="0.2">
      <c r="A54" s="319"/>
      <c r="B54" s="202"/>
      <c r="C54" s="203" t="s">
        <v>166</v>
      </c>
      <c r="D54" s="414">
        <f>AF69</f>
        <v>2.7668751373744055E-3</v>
      </c>
      <c r="E54" s="203"/>
      <c r="F54" s="204">
        <f>VLOOKUP(G54,soluble_pool!F:H,3,0)</f>
        <v>1.6750000000000003E-4</v>
      </c>
      <c r="G54" s="203" t="s">
        <v>27</v>
      </c>
      <c r="H54" s="203" t="s">
        <v>208</v>
      </c>
      <c r="I54" s="203" t="s">
        <v>25</v>
      </c>
      <c r="J54" s="203" t="s">
        <v>69</v>
      </c>
      <c r="K54" s="203">
        <v>21</v>
      </c>
      <c r="L54" s="203">
        <v>32</v>
      </c>
      <c r="M54" s="203">
        <v>7</v>
      </c>
      <c r="N54" s="206">
        <v>16</v>
      </c>
      <c r="O54" s="206">
        <v>3</v>
      </c>
      <c r="P54" s="206">
        <v>1</v>
      </c>
      <c r="Q54" s="206">
        <f t="shared" ref="Q54:Q62" si="25">(K54*12.011)+(L54*1.008)+(N54*15.999)+(14.007*M54)+(O54*30.974)+(P54*32.066)</f>
        <v>763.50800000000004</v>
      </c>
      <c r="R54" s="207" t="s">
        <v>135</v>
      </c>
      <c r="S54" s="90">
        <f t="shared" ref="S54:S69" si="26">Q54</f>
        <v>763.50800000000004</v>
      </c>
      <c r="T54" s="206"/>
      <c r="U54" s="206"/>
      <c r="V54" s="206"/>
      <c r="W54" s="205"/>
      <c r="X54" s="209"/>
      <c r="Y54" s="205"/>
      <c r="Z54" s="203"/>
      <c r="AA54" s="203"/>
      <c r="AB54" s="203"/>
      <c r="AC54" s="203"/>
      <c r="AD54" s="203">
        <f t="shared" si="16"/>
        <v>1.2788759000000003E-4</v>
      </c>
      <c r="AE54" s="203"/>
      <c r="AF54" s="212"/>
    </row>
    <row r="55" spans="1:32" x14ac:dyDescent="0.2">
      <c r="A55" s="319"/>
      <c r="B55" s="202"/>
      <c r="C55" s="203"/>
      <c r="D55" s="203"/>
      <c r="E55" s="203"/>
      <c r="F55" s="204">
        <f>VLOOKUP(G55,soluble_pool!F:H,3,0)</f>
        <v>1.7866666666666671E-3</v>
      </c>
      <c r="G55" s="203" t="s">
        <v>29</v>
      </c>
      <c r="H55" s="203" t="s">
        <v>208</v>
      </c>
      <c r="I55" s="203" t="s">
        <v>25</v>
      </c>
      <c r="J55" s="203" t="s">
        <v>84</v>
      </c>
      <c r="K55" s="203">
        <v>21</v>
      </c>
      <c r="L55" s="203">
        <v>26</v>
      </c>
      <c r="M55" s="203">
        <v>7</v>
      </c>
      <c r="N55" s="206">
        <v>14</v>
      </c>
      <c r="O55" s="206">
        <v>2</v>
      </c>
      <c r="P55" s="206">
        <v>0</v>
      </c>
      <c r="Q55" s="206">
        <f t="shared" si="25"/>
        <v>662.42199999999991</v>
      </c>
      <c r="R55" s="207" t="s">
        <v>135</v>
      </c>
      <c r="S55" s="90">
        <f>Q55</f>
        <v>662.42199999999991</v>
      </c>
      <c r="T55" s="206"/>
      <c r="U55" s="206"/>
      <c r="V55" s="206"/>
      <c r="W55" s="205"/>
      <c r="X55" s="209"/>
      <c r="Y55" s="205"/>
      <c r="Z55" s="203"/>
      <c r="AA55" s="203"/>
      <c r="AB55" s="203"/>
      <c r="AC55" s="203"/>
      <c r="AD55" s="203">
        <f t="shared" si="16"/>
        <v>1.1835273066666666E-3</v>
      </c>
      <c r="AE55" s="203"/>
      <c r="AF55" s="212"/>
    </row>
    <row r="56" spans="1:32" x14ac:dyDescent="0.2">
      <c r="A56" s="319"/>
      <c r="B56" s="202"/>
      <c r="C56" s="203"/>
      <c r="D56" s="203"/>
      <c r="E56" s="203"/>
      <c r="F56" s="204">
        <f>VLOOKUP(G56,soluble_pool!F:H,3,0)</f>
        <v>1.1166666666666669E-4</v>
      </c>
      <c r="G56" s="203" t="s">
        <v>31</v>
      </c>
      <c r="H56" s="203" t="s">
        <v>208</v>
      </c>
      <c r="I56" s="203" t="s">
        <v>25</v>
      </c>
      <c r="J56" s="203" t="s">
        <v>86</v>
      </c>
      <c r="K56" s="203">
        <v>21</v>
      </c>
      <c r="L56" s="203">
        <v>25</v>
      </c>
      <c r="M56" s="203">
        <v>7</v>
      </c>
      <c r="N56" s="206">
        <v>17</v>
      </c>
      <c r="O56" s="206">
        <v>3</v>
      </c>
      <c r="P56" s="206">
        <v>0</v>
      </c>
      <c r="Q56" s="206">
        <f t="shared" si="25"/>
        <v>740.38499999999999</v>
      </c>
      <c r="R56" s="207" t="s">
        <v>135</v>
      </c>
      <c r="S56" s="90">
        <f>Q56</f>
        <v>740.38499999999999</v>
      </c>
      <c r="T56" s="206"/>
      <c r="U56" s="206"/>
      <c r="V56" s="206"/>
      <c r="W56" s="205"/>
      <c r="X56" s="209"/>
      <c r="Y56" s="205"/>
      <c r="Z56" s="203"/>
      <c r="AA56" s="203"/>
      <c r="AB56" s="203"/>
      <c r="AC56" s="203"/>
      <c r="AD56" s="203">
        <f t="shared" si="16"/>
        <v>8.2676325000000022E-5</v>
      </c>
      <c r="AE56" s="203"/>
      <c r="AF56" s="212"/>
    </row>
    <row r="57" spans="1:32" x14ac:dyDescent="0.2">
      <c r="A57" s="319"/>
      <c r="B57" s="202"/>
      <c r="C57" s="203"/>
      <c r="D57" s="203"/>
      <c r="E57" s="203"/>
      <c r="F57" s="204">
        <f>VLOOKUP(G57,soluble_pool!F:H,3,0)</f>
        <v>2.2333333333333339E-4</v>
      </c>
      <c r="G57" s="203" t="s">
        <v>28</v>
      </c>
      <c r="H57" s="203" t="s">
        <v>208</v>
      </c>
      <c r="I57" s="203" t="s">
        <v>25</v>
      </c>
      <c r="J57" s="203" t="s">
        <v>74</v>
      </c>
      <c r="K57" s="203">
        <v>27</v>
      </c>
      <c r="L57" s="203">
        <v>31</v>
      </c>
      <c r="M57" s="203">
        <v>9</v>
      </c>
      <c r="N57" s="206">
        <v>15</v>
      </c>
      <c r="O57" s="206">
        <v>2</v>
      </c>
      <c r="P57" s="206">
        <v>0</v>
      </c>
      <c r="Q57" s="206">
        <f t="shared" si="25"/>
        <v>783.54099999999994</v>
      </c>
      <c r="R57" s="207" t="s">
        <v>135</v>
      </c>
      <c r="S57" s="90">
        <f t="shared" si="26"/>
        <v>783.54099999999994</v>
      </c>
      <c r="T57" s="206"/>
      <c r="U57" s="206"/>
      <c r="V57" s="206"/>
      <c r="W57" s="205"/>
      <c r="X57" s="209"/>
      <c r="Y57" s="205"/>
      <c r="Z57" s="203"/>
      <c r="AA57" s="203"/>
      <c r="AB57" s="203"/>
      <c r="AC57" s="203"/>
      <c r="AD57" s="203">
        <f t="shared" si="16"/>
        <v>1.7499082333333334E-4</v>
      </c>
      <c r="AE57" s="203"/>
      <c r="AF57" s="212"/>
    </row>
    <row r="58" spans="1:32" x14ac:dyDescent="0.2">
      <c r="A58" s="319"/>
      <c r="B58" s="202"/>
      <c r="C58" s="203"/>
      <c r="D58" s="203"/>
      <c r="E58" s="203"/>
      <c r="F58" s="204">
        <f>VLOOKUP(G58,soluble_pool!F:H,3,0)</f>
        <v>2.2333333333333339E-4</v>
      </c>
      <c r="G58" s="203" t="s">
        <v>248</v>
      </c>
      <c r="H58" s="203" t="s">
        <v>208</v>
      </c>
      <c r="I58" s="203" t="s">
        <v>25</v>
      </c>
      <c r="J58" s="203" t="s">
        <v>254</v>
      </c>
      <c r="K58" s="203">
        <v>19</v>
      </c>
      <c r="L58" s="203">
        <v>21</v>
      </c>
      <c r="M58" s="203">
        <v>7</v>
      </c>
      <c r="N58" s="206">
        <v>6</v>
      </c>
      <c r="O58" s="206">
        <v>0</v>
      </c>
      <c r="P58" s="206">
        <v>0</v>
      </c>
      <c r="Q58" s="206">
        <f t="shared" si="25"/>
        <v>443.41999999999996</v>
      </c>
      <c r="R58" s="207" t="s">
        <v>135</v>
      </c>
      <c r="S58" s="90">
        <f t="shared" si="26"/>
        <v>443.41999999999996</v>
      </c>
      <c r="T58" s="206"/>
      <c r="U58" s="206"/>
      <c r="V58" s="206"/>
      <c r="W58" s="205"/>
      <c r="X58" s="209"/>
      <c r="Y58" s="205"/>
      <c r="Z58" s="203"/>
      <c r="AA58" s="203"/>
      <c r="AB58" s="203"/>
      <c r="AC58" s="203"/>
      <c r="AD58" s="203">
        <f t="shared" si="16"/>
        <v>9.9030466666666673E-5</v>
      </c>
      <c r="AE58" s="203"/>
      <c r="AF58" s="212"/>
    </row>
    <row r="59" spans="1:32" x14ac:dyDescent="0.2">
      <c r="A59" s="319"/>
      <c r="B59" s="202"/>
      <c r="C59" s="203"/>
      <c r="D59" s="203"/>
      <c r="E59" s="203"/>
      <c r="F59" s="204">
        <f>VLOOKUP(G59,soluble_pool!F:H,3,0)</f>
        <v>2.2333333333333339E-4</v>
      </c>
      <c r="G59" s="203" t="s">
        <v>339</v>
      </c>
      <c r="H59" s="203" t="s">
        <v>208</v>
      </c>
      <c r="I59" s="203" t="s">
        <v>25</v>
      </c>
      <c r="J59" s="203" t="s">
        <v>341</v>
      </c>
      <c r="K59" s="203">
        <v>20</v>
      </c>
      <c r="L59" s="203">
        <v>21</v>
      </c>
      <c r="M59" s="203">
        <v>7</v>
      </c>
      <c r="N59" s="206">
        <v>6</v>
      </c>
      <c r="O59" s="206">
        <v>0</v>
      </c>
      <c r="P59" s="206">
        <v>0</v>
      </c>
      <c r="Q59" s="206">
        <f t="shared" si="25"/>
        <v>455.43099999999993</v>
      </c>
      <c r="R59" s="207" t="s">
        <v>135</v>
      </c>
      <c r="S59" s="90">
        <f>Q59</f>
        <v>455.43099999999993</v>
      </c>
      <c r="T59" s="206"/>
      <c r="U59" s="206"/>
      <c r="V59" s="206"/>
      <c r="W59" s="205"/>
      <c r="X59" s="209"/>
      <c r="Y59" s="205"/>
      <c r="Z59" s="203"/>
      <c r="AA59" s="203"/>
      <c r="AB59" s="203"/>
      <c r="AC59" s="203"/>
      <c r="AD59" s="203">
        <f t="shared" si="16"/>
        <v>1.0171292333333334E-4</v>
      </c>
      <c r="AE59" s="203"/>
      <c r="AF59" s="212"/>
    </row>
    <row r="60" spans="1:32" x14ac:dyDescent="0.2">
      <c r="A60" s="319"/>
      <c r="B60" s="202"/>
      <c r="C60" s="203"/>
      <c r="D60" s="203"/>
      <c r="E60" s="203"/>
      <c r="F60" s="204">
        <f>VLOOKUP(G60,soluble_pool!F:H,3,0)</f>
        <v>2.2333333333333339E-4</v>
      </c>
      <c r="G60" s="203" t="s">
        <v>257</v>
      </c>
      <c r="H60" s="203" t="s">
        <v>208</v>
      </c>
      <c r="I60" s="203" t="s">
        <v>25</v>
      </c>
      <c r="J60" s="203" t="s">
        <v>312</v>
      </c>
      <c r="K60" s="203">
        <v>12</v>
      </c>
      <c r="L60" s="203">
        <v>16</v>
      </c>
      <c r="M60" s="203">
        <v>4</v>
      </c>
      <c r="N60" s="206">
        <v>7</v>
      </c>
      <c r="O60" s="206">
        <v>2</v>
      </c>
      <c r="P60" s="206">
        <v>1</v>
      </c>
      <c r="Q60" s="206">
        <f t="shared" si="25"/>
        <v>422.29499999999996</v>
      </c>
      <c r="R60" s="207" t="s">
        <v>135</v>
      </c>
      <c r="S60" s="90">
        <f t="shared" si="26"/>
        <v>422.29499999999996</v>
      </c>
      <c r="T60" s="206"/>
      <c r="U60" s="206"/>
      <c r="V60" s="206"/>
      <c r="W60" s="205"/>
      <c r="X60" s="209"/>
      <c r="Y60" s="205"/>
      <c r="Z60" s="203"/>
      <c r="AA60" s="203"/>
      <c r="AB60" s="203"/>
      <c r="AC60" s="203"/>
      <c r="AD60" s="203">
        <f t="shared" si="16"/>
        <v>9.4312550000000012E-5</v>
      </c>
      <c r="AE60" s="203"/>
      <c r="AF60" s="212"/>
    </row>
    <row r="61" spans="1:32" x14ac:dyDescent="0.2">
      <c r="A61" s="319"/>
      <c r="B61" s="202"/>
      <c r="C61" s="203"/>
      <c r="D61" s="203"/>
      <c r="E61" s="203"/>
      <c r="F61" s="204">
        <f>VLOOKUP(G61,soluble_pool!F:H,3,0)</f>
        <v>2.2333333333333339E-4</v>
      </c>
      <c r="G61" s="203" t="s">
        <v>324</v>
      </c>
      <c r="H61" s="203" t="s">
        <v>208</v>
      </c>
      <c r="I61" s="203" t="s">
        <v>25</v>
      </c>
      <c r="J61" s="203" t="s">
        <v>328</v>
      </c>
      <c r="K61" s="203">
        <v>51</v>
      </c>
      <c r="L61" s="203">
        <v>74</v>
      </c>
      <c r="M61" s="203">
        <v>0</v>
      </c>
      <c r="N61" s="206">
        <v>2</v>
      </c>
      <c r="O61" s="206">
        <v>0</v>
      </c>
      <c r="P61" s="206">
        <v>0</v>
      </c>
      <c r="Q61" s="206">
        <f t="shared" si="25"/>
        <v>719.15099999999995</v>
      </c>
      <c r="R61" s="207" t="s">
        <v>135</v>
      </c>
      <c r="S61" s="90">
        <f>Q61</f>
        <v>719.15099999999995</v>
      </c>
      <c r="T61" s="206"/>
      <c r="U61" s="206"/>
      <c r="V61" s="206"/>
      <c r="W61" s="205"/>
      <c r="X61" s="209"/>
      <c r="Y61" s="205"/>
      <c r="Z61" s="203"/>
      <c r="AA61" s="203"/>
      <c r="AB61" s="203"/>
      <c r="AC61" s="203"/>
      <c r="AD61" s="203">
        <f t="shared" si="16"/>
        <v>1.6061039000000001E-4</v>
      </c>
      <c r="AE61" s="203"/>
      <c r="AF61" s="212"/>
    </row>
    <row r="62" spans="1:32" x14ac:dyDescent="0.2">
      <c r="A62" s="319"/>
      <c r="B62" s="202"/>
      <c r="C62" s="203"/>
      <c r="D62" s="203"/>
      <c r="E62" s="203"/>
      <c r="F62" s="204">
        <f>VLOOKUP(G62,soluble_pool!F:H,3,0)</f>
        <v>2.2333333333333339E-4</v>
      </c>
      <c r="G62" s="203" t="s">
        <v>314</v>
      </c>
      <c r="H62" s="203" t="s">
        <v>208</v>
      </c>
      <c r="I62" s="203" t="s">
        <v>25</v>
      </c>
      <c r="J62" s="203" t="s">
        <v>317</v>
      </c>
      <c r="K62" s="203">
        <v>8</v>
      </c>
      <c r="L62" s="203">
        <v>8</v>
      </c>
      <c r="M62" s="203">
        <v>1</v>
      </c>
      <c r="N62" s="206">
        <v>6</v>
      </c>
      <c r="O62" s="206">
        <v>1</v>
      </c>
      <c r="P62" s="206">
        <v>0</v>
      </c>
      <c r="Q62" s="206">
        <f t="shared" si="25"/>
        <v>245.12699999999998</v>
      </c>
      <c r="R62" s="207" t="s">
        <v>135</v>
      </c>
      <c r="S62" s="90">
        <f t="shared" si="26"/>
        <v>245.12699999999998</v>
      </c>
      <c r="T62" s="206"/>
      <c r="U62" s="206"/>
      <c r="V62" s="206"/>
      <c r="W62" s="205"/>
      <c r="X62" s="209"/>
      <c r="Y62" s="205"/>
      <c r="Z62" s="203"/>
      <c r="AA62" s="203"/>
      <c r="AB62" s="203"/>
      <c r="AC62" s="203"/>
      <c r="AD62" s="203">
        <f t="shared" si="16"/>
        <v>5.4745030000000007E-5</v>
      </c>
      <c r="AE62" s="203"/>
      <c r="AF62" s="212"/>
    </row>
    <row r="63" spans="1:32" x14ac:dyDescent="0.2">
      <c r="A63" s="319"/>
      <c r="B63" s="202"/>
      <c r="C63" s="203"/>
      <c r="D63" s="203"/>
      <c r="E63" s="203"/>
      <c r="F63" s="204">
        <f>VLOOKUP(G63,soluble_pool!F:H,3,0)</f>
        <v>2.2333333333333339E-4</v>
      </c>
      <c r="G63" s="203" t="s">
        <v>343</v>
      </c>
      <c r="H63" s="203" t="s">
        <v>208</v>
      </c>
      <c r="I63" s="203" t="s">
        <v>25</v>
      </c>
      <c r="J63" s="203" t="s">
        <v>336</v>
      </c>
      <c r="K63" s="203">
        <v>39</v>
      </c>
      <c r="L63" s="203">
        <v>30</v>
      </c>
      <c r="M63" s="203">
        <v>4</v>
      </c>
      <c r="N63" s="206">
        <v>5</v>
      </c>
      <c r="O63" s="206">
        <v>0</v>
      </c>
      <c r="P63" s="206">
        <v>0</v>
      </c>
      <c r="Q63" s="206">
        <f>(K63*12.011)+(L63*1.008)+(N63*15.999)+(14.007*M63)+(O63*30.974)+(P63*32.066)+Q40</f>
        <v>690.62689999999998</v>
      </c>
      <c r="R63" s="207" t="s">
        <v>135</v>
      </c>
      <c r="S63" s="90">
        <f>Q63</f>
        <v>690.62689999999998</v>
      </c>
      <c r="T63" s="206"/>
      <c r="U63" s="206"/>
      <c r="V63" s="206"/>
      <c r="W63" s="205"/>
      <c r="X63" s="209"/>
      <c r="Y63" s="205"/>
      <c r="Z63" s="203"/>
      <c r="AA63" s="203"/>
      <c r="AB63" s="203"/>
      <c r="AC63" s="203"/>
      <c r="AD63" s="203">
        <f t="shared" si="16"/>
        <v>1.5424000766666671E-4</v>
      </c>
      <c r="AE63" s="203"/>
      <c r="AF63" s="212"/>
    </row>
    <row r="64" spans="1:32" x14ac:dyDescent="0.2">
      <c r="A64" s="319"/>
      <c r="B64" s="202"/>
      <c r="C64" s="203"/>
      <c r="D64" s="203"/>
      <c r="E64" s="203"/>
      <c r="F64" s="204">
        <f>VLOOKUP(G64,soluble_pool!F:H,3,0)</f>
        <v>2.2333333333333339E-4</v>
      </c>
      <c r="G64" s="203" t="s">
        <v>337</v>
      </c>
      <c r="H64" s="203" t="s">
        <v>208</v>
      </c>
      <c r="I64" s="203" t="s">
        <v>25</v>
      </c>
      <c r="J64" s="203" t="s">
        <v>338</v>
      </c>
      <c r="K64" s="203">
        <v>42</v>
      </c>
      <c r="L64" s="203">
        <v>36</v>
      </c>
      <c r="M64" s="203">
        <v>4</v>
      </c>
      <c r="N64" s="206">
        <v>16</v>
      </c>
      <c r="O64" s="206">
        <v>0</v>
      </c>
      <c r="P64" s="206">
        <v>0</v>
      </c>
      <c r="Q64" s="206">
        <f>(K64*12.011)+(L64*1.008)+(N64*15.999)+(14.007*M64)+(O64*30.974)+(P64*32.066)+Q40</f>
        <v>908.69690000000003</v>
      </c>
      <c r="R64" s="207" t="s">
        <v>135</v>
      </c>
      <c r="S64" s="90">
        <f>Q64</f>
        <v>908.69690000000003</v>
      </c>
      <c r="T64" s="206"/>
      <c r="U64" s="206"/>
      <c r="V64" s="206"/>
      <c r="W64" s="205"/>
      <c r="X64" s="209"/>
      <c r="Y64" s="205"/>
      <c r="Z64" s="203"/>
      <c r="AA64" s="203"/>
      <c r="AB64" s="203"/>
      <c r="AC64" s="203"/>
      <c r="AD64" s="203">
        <f t="shared" si="16"/>
        <v>2.029423076666667E-4</v>
      </c>
      <c r="AE64" s="203"/>
      <c r="AF64" s="212"/>
    </row>
    <row r="65" spans="1:33" x14ac:dyDescent="0.2">
      <c r="A65" s="319"/>
      <c r="B65" s="202"/>
      <c r="C65" s="203"/>
      <c r="D65" s="203"/>
      <c r="E65" s="203"/>
      <c r="F65" s="204">
        <f>VLOOKUP(G65,soluble_pool!F:H,3,0)</f>
        <v>5.535259603675412E-5</v>
      </c>
      <c r="G65" s="203" t="s">
        <v>282</v>
      </c>
      <c r="H65" s="203" t="s">
        <v>208</v>
      </c>
      <c r="I65" s="203" t="s">
        <v>25</v>
      </c>
      <c r="J65" s="203" t="s">
        <v>292</v>
      </c>
      <c r="K65" s="203">
        <v>55</v>
      </c>
      <c r="L65" s="203">
        <v>89</v>
      </c>
      <c r="M65" s="203">
        <v>0</v>
      </c>
      <c r="N65" s="206">
        <v>7</v>
      </c>
      <c r="O65" s="206">
        <v>2</v>
      </c>
      <c r="P65" s="206">
        <v>0</v>
      </c>
      <c r="Q65" s="206">
        <f t="shared" ref="Q65:Q71" si="27">(K65*12.011)+(L65*1.008)+(N65*15.999)+(14.007*M65)+(O65*30.974)+(P65*32.066)</f>
        <v>924.25799999999992</v>
      </c>
      <c r="R65" s="207" t="s">
        <v>135</v>
      </c>
      <c r="S65" s="90">
        <f t="shared" si="26"/>
        <v>924.25799999999992</v>
      </c>
      <c r="T65" s="206"/>
      <c r="U65" s="206"/>
      <c r="V65" s="206"/>
      <c r="W65" s="205"/>
      <c r="X65" s="209"/>
      <c r="Y65" s="205"/>
      <c r="Z65" s="203"/>
      <c r="AA65" s="203"/>
      <c r="AB65" s="203"/>
      <c r="AC65" s="203"/>
      <c r="AD65" s="203">
        <f t="shared" si="16"/>
        <v>5.1160079707738285E-5</v>
      </c>
      <c r="AE65" s="203"/>
      <c r="AF65" s="212"/>
    </row>
    <row r="66" spans="1:33" x14ac:dyDescent="0.2">
      <c r="A66" s="319"/>
      <c r="B66" s="202"/>
      <c r="C66" s="203"/>
      <c r="D66" s="203"/>
      <c r="E66" s="203"/>
      <c r="F66" s="204">
        <f>VLOOKUP(G66,soluble_pool!F:H,3,0)</f>
        <v>2.2333333333333339E-4</v>
      </c>
      <c r="G66" s="203" t="s">
        <v>300</v>
      </c>
      <c r="H66" s="203" t="s">
        <v>208</v>
      </c>
      <c r="I66" s="203" t="s">
        <v>25</v>
      </c>
      <c r="J66" s="203" t="s">
        <v>301</v>
      </c>
      <c r="K66" s="203">
        <v>20</v>
      </c>
      <c r="L66" s="203">
        <v>21</v>
      </c>
      <c r="M66" s="203">
        <v>7</v>
      </c>
      <c r="N66" s="206">
        <v>7</v>
      </c>
      <c r="O66" s="206">
        <v>0</v>
      </c>
      <c r="P66" s="206">
        <v>0</v>
      </c>
      <c r="Q66" s="206">
        <f t="shared" si="27"/>
        <v>471.42999999999995</v>
      </c>
      <c r="R66" s="207" t="s">
        <v>135</v>
      </c>
      <c r="S66" s="90">
        <f t="shared" si="26"/>
        <v>471.42999999999995</v>
      </c>
      <c r="T66" s="206"/>
      <c r="U66" s="206"/>
      <c r="V66" s="206"/>
      <c r="W66" s="205"/>
      <c r="X66" s="209"/>
      <c r="Y66" s="205"/>
      <c r="Z66" s="203"/>
      <c r="AA66" s="203"/>
      <c r="AB66" s="203"/>
      <c r="AC66" s="203"/>
      <c r="AD66" s="203">
        <f t="shared" si="16"/>
        <v>1.0528603333333335E-4</v>
      </c>
      <c r="AE66" s="203"/>
      <c r="AF66" s="212"/>
    </row>
    <row r="67" spans="1:33" x14ac:dyDescent="0.2">
      <c r="A67" s="319"/>
      <c r="B67" s="202"/>
      <c r="C67" s="203"/>
      <c r="D67" s="203"/>
      <c r="E67" s="203"/>
      <c r="F67" s="204">
        <f>VLOOKUP(G67,soluble_pool!F:H,3,0)</f>
        <v>2.2333333333333339E-4</v>
      </c>
      <c r="G67" s="203" t="s">
        <v>276</v>
      </c>
      <c r="H67" s="203" t="s">
        <v>208</v>
      </c>
      <c r="I67" s="203" t="s">
        <v>25</v>
      </c>
      <c r="J67" s="203" t="s">
        <v>303</v>
      </c>
      <c r="K67" s="203">
        <v>15</v>
      </c>
      <c r="L67" s="203">
        <v>23</v>
      </c>
      <c r="M67" s="203">
        <v>6</v>
      </c>
      <c r="N67" s="206">
        <v>5</v>
      </c>
      <c r="O67" s="206">
        <v>0</v>
      </c>
      <c r="P67" s="206">
        <v>1</v>
      </c>
      <c r="Q67" s="206">
        <f t="shared" si="27"/>
        <v>399.452</v>
      </c>
      <c r="R67" s="207" t="s">
        <v>135</v>
      </c>
      <c r="S67" s="90">
        <f t="shared" si="26"/>
        <v>399.452</v>
      </c>
      <c r="T67" s="206"/>
      <c r="U67" s="206"/>
      <c r="V67" s="206"/>
      <c r="W67" s="205"/>
      <c r="X67" s="209"/>
      <c r="Y67" s="205"/>
      <c r="Z67" s="203"/>
      <c r="AA67" s="203"/>
      <c r="AB67" s="203"/>
      <c r="AC67" s="203"/>
      <c r="AD67" s="203">
        <f t="shared" si="16"/>
        <v>8.9210946666666696E-5</v>
      </c>
      <c r="AE67" s="203"/>
      <c r="AF67" s="212"/>
    </row>
    <row r="68" spans="1:33" x14ac:dyDescent="0.2">
      <c r="A68" s="319"/>
      <c r="B68" s="202"/>
      <c r="C68" s="203"/>
      <c r="D68" s="203"/>
      <c r="E68" s="203"/>
      <c r="F68" s="204">
        <f>VLOOKUP(G68,soluble_pool!F:H,3,0)</f>
        <v>2.2333333333333339E-4</v>
      </c>
      <c r="G68" s="203" t="s">
        <v>297</v>
      </c>
      <c r="H68" s="203" t="s">
        <v>208</v>
      </c>
      <c r="I68" s="203" t="s">
        <v>25</v>
      </c>
      <c r="J68" s="203" t="s">
        <v>304</v>
      </c>
      <c r="K68" s="203">
        <v>17</v>
      </c>
      <c r="L68" s="203">
        <v>20</v>
      </c>
      <c r="M68" s="203">
        <v>4</v>
      </c>
      <c r="N68" s="206">
        <v>6</v>
      </c>
      <c r="O68" s="206">
        <v>0</v>
      </c>
      <c r="P68" s="206">
        <v>0</v>
      </c>
      <c r="Q68" s="206">
        <f t="shared" si="27"/>
        <v>376.36900000000003</v>
      </c>
      <c r="R68" s="207" t="s">
        <v>135</v>
      </c>
      <c r="S68" s="90">
        <f t="shared" si="26"/>
        <v>376.36900000000003</v>
      </c>
      <c r="T68" s="206"/>
      <c r="U68" s="206"/>
      <c r="V68" s="206"/>
      <c r="W68" s="205"/>
      <c r="X68" s="209"/>
      <c r="Y68" s="205"/>
      <c r="Z68" s="203"/>
      <c r="AA68" s="203"/>
      <c r="AB68" s="203"/>
      <c r="AC68" s="203"/>
      <c r="AD68" s="203">
        <f t="shared" si="16"/>
        <v>8.4055743333333357E-5</v>
      </c>
      <c r="AE68" s="203"/>
      <c r="AF68" s="212"/>
      <c r="AG68" s="31"/>
    </row>
    <row r="69" spans="1:33" x14ac:dyDescent="0.2">
      <c r="A69" s="319"/>
      <c r="B69" s="202"/>
      <c r="C69" s="203"/>
      <c r="D69" s="203"/>
      <c r="E69" s="203"/>
      <c r="F69" s="204">
        <f>VLOOKUP(G69,soluble_pool!F:H,3,0)</f>
        <v>1.9999999999999999E-6</v>
      </c>
      <c r="G69" s="203" t="s">
        <v>423</v>
      </c>
      <c r="H69" s="203" t="s">
        <v>208</v>
      </c>
      <c r="I69" s="203" t="s">
        <v>25</v>
      </c>
      <c r="J69" s="203" t="s">
        <v>425</v>
      </c>
      <c r="K69" s="203">
        <v>10</v>
      </c>
      <c r="L69" s="203">
        <v>15</v>
      </c>
      <c r="M69" s="203">
        <v>2</v>
      </c>
      <c r="N69" s="206">
        <v>3</v>
      </c>
      <c r="O69" s="206">
        <v>0</v>
      </c>
      <c r="P69" s="206">
        <v>1</v>
      </c>
      <c r="Q69" s="206">
        <f t="shared" si="27"/>
        <v>243.30699999999999</v>
      </c>
      <c r="R69" s="207" t="s">
        <v>135</v>
      </c>
      <c r="S69" s="90">
        <f t="shared" si="26"/>
        <v>243.30699999999999</v>
      </c>
      <c r="T69" s="206"/>
      <c r="U69" s="206"/>
      <c r="V69" s="206"/>
      <c r="W69" s="205"/>
      <c r="X69" s="209"/>
      <c r="Y69" s="205"/>
      <c r="Z69" s="203"/>
      <c r="AA69" s="203"/>
      <c r="AB69" s="203"/>
      <c r="AC69" s="203"/>
      <c r="AD69" s="203">
        <f t="shared" si="16"/>
        <v>4.8661399999999999E-7</v>
      </c>
      <c r="AE69" s="203"/>
      <c r="AF69" s="212">
        <f>SUM(AD54:AD69)</f>
        <v>2.7668751373744055E-3</v>
      </c>
      <c r="AG69" s="31"/>
    </row>
    <row r="70" spans="1:33" x14ac:dyDescent="0.2">
      <c r="A70" s="319"/>
      <c r="B70" s="235" t="s">
        <v>108</v>
      </c>
      <c r="C70" s="227"/>
      <c r="D70" s="227"/>
      <c r="E70" s="227">
        <v>1</v>
      </c>
      <c r="F70" s="228">
        <f>F87</f>
        <v>79.2</v>
      </c>
      <c r="G70" s="227" t="s">
        <v>167</v>
      </c>
      <c r="H70" s="227" t="s">
        <v>208</v>
      </c>
      <c r="I70" s="227" t="s">
        <v>45</v>
      </c>
      <c r="J70" s="227" t="s">
        <v>107</v>
      </c>
      <c r="K70" s="227">
        <v>10</v>
      </c>
      <c r="L70" s="227">
        <v>12</v>
      </c>
      <c r="M70" s="227">
        <v>5</v>
      </c>
      <c r="N70" s="227">
        <v>13</v>
      </c>
      <c r="O70" s="227">
        <v>3</v>
      </c>
      <c r="P70" s="236">
        <v>0</v>
      </c>
      <c r="Q70" s="236">
        <f t="shared" si="27"/>
        <v>503.15</v>
      </c>
      <c r="R70" s="237"/>
      <c r="S70" s="236"/>
      <c r="T70" s="236"/>
      <c r="U70" s="236"/>
      <c r="V70" s="236"/>
      <c r="W70" s="238"/>
      <c r="X70" s="231"/>
      <c r="Y70" s="238"/>
      <c r="Z70" s="227"/>
      <c r="AA70" s="227"/>
      <c r="AB70" s="227"/>
      <c r="AC70" s="227"/>
      <c r="AD70" s="227">
        <f t="shared" si="16"/>
        <v>39.84948</v>
      </c>
      <c r="AE70" s="227"/>
      <c r="AF70" s="239"/>
    </row>
    <row r="71" spans="1:33" x14ac:dyDescent="0.2">
      <c r="B71" s="235" t="s">
        <v>108</v>
      </c>
      <c r="C71" s="227"/>
      <c r="D71" s="227"/>
      <c r="E71" s="227">
        <v>1</v>
      </c>
      <c r="F71" s="228">
        <f>F87</f>
        <v>79.2</v>
      </c>
      <c r="G71" s="227" t="s">
        <v>168</v>
      </c>
      <c r="H71" s="227" t="s">
        <v>208</v>
      </c>
      <c r="I71" s="227" t="s">
        <v>45</v>
      </c>
      <c r="J71" s="227" t="s">
        <v>79</v>
      </c>
      <c r="K71" s="227">
        <v>0</v>
      </c>
      <c r="L71" s="227">
        <v>2</v>
      </c>
      <c r="M71" s="227">
        <v>0</v>
      </c>
      <c r="N71" s="236">
        <v>1</v>
      </c>
      <c r="O71" s="236">
        <v>0</v>
      </c>
      <c r="P71" s="236">
        <v>0</v>
      </c>
      <c r="Q71" s="236">
        <f t="shared" si="27"/>
        <v>18.015000000000001</v>
      </c>
      <c r="R71" s="237"/>
      <c r="S71" s="236"/>
      <c r="T71" s="236"/>
      <c r="U71" s="236"/>
      <c r="V71" s="236"/>
      <c r="W71" s="238"/>
      <c r="X71" s="231"/>
      <c r="Y71" s="238"/>
      <c r="Z71" s="227"/>
      <c r="AA71" s="227"/>
      <c r="AB71" s="227"/>
      <c r="AC71" s="227"/>
      <c r="AD71" s="227">
        <f t="shared" si="16"/>
        <v>1.4267879999999999</v>
      </c>
      <c r="AE71" s="227"/>
      <c r="AF71" s="239"/>
    </row>
    <row r="72" spans="1:33" x14ac:dyDescent="0.2">
      <c r="B72" s="240" t="s">
        <v>330</v>
      </c>
      <c r="C72" s="213"/>
      <c r="D72" s="213"/>
      <c r="E72" s="213"/>
      <c r="F72" s="214">
        <f>F70+F31</f>
        <v>79.302794439489446</v>
      </c>
      <c r="G72" s="213" t="s">
        <v>167</v>
      </c>
      <c r="H72" s="242" t="s">
        <v>208</v>
      </c>
      <c r="I72" s="213"/>
      <c r="J72" s="213"/>
      <c r="K72" s="213"/>
      <c r="L72" s="213"/>
      <c r="M72" s="213"/>
      <c r="N72" s="215"/>
      <c r="O72" s="215"/>
      <c r="P72" s="215"/>
      <c r="Q72" s="215"/>
      <c r="R72" s="216"/>
      <c r="S72" s="215"/>
      <c r="T72" s="215"/>
      <c r="U72" s="215"/>
      <c r="V72" s="215"/>
      <c r="W72" s="242"/>
      <c r="X72" s="241"/>
      <c r="Y72" s="242"/>
      <c r="Z72" s="213"/>
      <c r="AA72" s="213"/>
      <c r="AB72" s="213"/>
      <c r="AC72" s="213"/>
      <c r="AD72" s="213"/>
      <c r="AE72" s="213"/>
      <c r="AF72" s="243"/>
    </row>
    <row r="73" spans="1:33" x14ac:dyDescent="0.2">
      <c r="B73" s="240" t="s">
        <v>170</v>
      </c>
      <c r="C73" s="213"/>
      <c r="D73" s="213"/>
      <c r="E73" s="213"/>
      <c r="F73" s="214">
        <f>F71-F81</f>
        <v>73.845988338919796</v>
      </c>
      <c r="G73" s="213" t="s">
        <v>168</v>
      </c>
      <c r="H73" s="242" t="s">
        <v>208</v>
      </c>
      <c r="I73" s="213"/>
      <c r="J73" s="213"/>
      <c r="K73" s="213"/>
      <c r="L73" s="213"/>
      <c r="M73" s="213"/>
      <c r="N73" s="215"/>
      <c r="O73" s="215"/>
      <c r="P73" s="215"/>
      <c r="Q73" s="215"/>
      <c r="R73" s="216"/>
      <c r="S73" s="215"/>
      <c r="T73" s="215"/>
      <c r="U73" s="215"/>
      <c r="V73" s="215"/>
      <c r="W73" s="242"/>
      <c r="X73" s="241"/>
      <c r="Y73" s="242"/>
      <c r="Z73" s="213"/>
      <c r="AA73" s="213"/>
      <c r="AB73" s="213"/>
      <c r="AC73" s="213"/>
      <c r="AD73" s="213"/>
      <c r="AE73" s="213"/>
      <c r="AF73" s="243"/>
    </row>
    <row r="74" spans="1:33" s="15" customFormat="1" x14ac:dyDescent="0.2">
      <c r="B74" s="244"/>
      <c r="F74" s="20"/>
      <c r="N74" s="16"/>
      <c r="O74" s="16"/>
      <c r="P74" s="16"/>
      <c r="Q74" s="16"/>
      <c r="R74" s="17"/>
      <c r="S74" s="16"/>
      <c r="T74" s="16"/>
      <c r="U74" s="16"/>
      <c r="V74" s="16"/>
      <c r="W74" s="19"/>
      <c r="X74" s="18"/>
      <c r="Y74" s="19"/>
      <c r="AF74" s="245"/>
    </row>
    <row r="75" spans="1:33" x14ac:dyDescent="0.2">
      <c r="B75" s="269" t="s">
        <v>352</v>
      </c>
      <c r="C75" s="15"/>
      <c r="D75" s="15"/>
      <c r="E75" s="15"/>
      <c r="F75" s="20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246"/>
      <c r="S75" s="15"/>
      <c r="T75" s="15"/>
      <c r="U75" s="15"/>
      <c r="V75" s="15"/>
      <c r="W75" s="19"/>
      <c r="X75" s="18"/>
      <c r="Y75" s="15"/>
      <c r="Z75" s="15"/>
      <c r="AA75" s="15"/>
      <c r="AB75" s="15"/>
      <c r="AC75" s="15"/>
      <c r="AD75" s="15"/>
      <c r="AE75" s="15"/>
      <c r="AF75" s="245"/>
    </row>
    <row r="76" spans="1:33" x14ac:dyDescent="0.2">
      <c r="B76" s="235" t="s">
        <v>108</v>
      </c>
      <c r="C76" s="227"/>
      <c r="D76" s="227"/>
      <c r="E76" s="227">
        <v>1</v>
      </c>
      <c r="F76" s="228">
        <f>F87</f>
        <v>79.2</v>
      </c>
      <c r="G76" s="227" t="s">
        <v>329</v>
      </c>
      <c r="H76" s="227" t="s">
        <v>208</v>
      </c>
      <c r="I76" s="227" t="s">
        <v>45</v>
      </c>
      <c r="J76" s="227" t="s">
        <v>63</v>
      </c>
      <c r="K76" s="227">
        <v>10</v>
      </c>
      <c r="L76" s="227">
        <v>12</v>
      </c>
      <c r="M76" s="227">
        <v>5</v>
      </c>
      <c r="N76" s="227">
        <v>10</v>
      </c>
      <c r="O76" s="227">
        <v>2</v>
      </c>
      <c r="P76" s="227">
        <v>0</v>
      </c>
      <c r="Q76" s="227">
        <f t="shared" ref="Q76:Q81" si="28">(K76*12.011)+(L76*1.008)+(N76*15.999)+(14.007*M76)+(O76*30.974)+(P76*32.066)</f>
        <v>424.17899999999997</v>
      </c>
      <c r="R76" s="229"/>
      <c r="S76" s="227"/>
      <c r="T76" s="227"/>
      <c r="U76" s="227"/>
      <c r="V76" s="227"/>
      <c r="W76" s="238"/>
      <c r="X76" s="231"/>
      <c r="Y76" s="238"/>
      <c r="Z76" s="227"/>
      <c r="AA76" s="227"/>
      <c r="AB76" s="227"/>
      <c r="AC76" s="227"/>
      <c r="AD76" s="227">
        <f t="shared" ref="AD76:AD81" si="29">(F76*Q76)/1000</f>
        <v>33.594976799999998</v>
      </c>
      <c r="AE76" s="227"/>
      <c r="AF76" s="239"/>
    </row>
    <row r="77" spans="1:33" x14ac:dyDescent="0.2">
      <c r="B77" s="235" t="s">
        <v>108</v>
      </c>
      <c r="C77" s="227"/>
      <c r="D77" s="227"/>
      <c r="E77" s="227">
        <v>1</v>
      </c>
      <c r="F77" s="228">
        <f>F87</f>
        <v>79.2</v>
      </c>
      <c r="G77" s="227" t="s">
        <v>46</v>
      </c>
      <c r="H77" s="227" t="s">
        <v>208</v>
      </c>
      <c r="I77" s="227" t="s">
        <v>45</v>
      </c>
      <c r="J77" s="227" t="s">
        <v>51</v>
      </c>
      <c r="K77" s="227">
        <v>0</v>
      </c>
      <c r="L77" s="227">
        <v>1</v>
      </c>
      <c r="M77" s="227">
        <v>0</v>
      </c>
      <c r="N77" s="227">
        <v>0</v>
      </c>
      <c r="O77" s="227">
        <v>0</v>
      </c>
      <c r="P77" s="227">
        <v>0</v>
      </c>
      <c r="Q77" s="227">
        <f t="shared" si="28"/>
        <v>1.008</v>
      </c>
      <c r="R77" s="229"/>
      <c r="S77" s="227"/>
      <c r="T77" s="227"/>
      <c r="U77" s="227"/>
      <c r="V77" s="227"/>
      <c r="W77" s="238"/>
      <c r="X77" s="231"/>
      <c r="Y77" s="238"/>
      <c r="Z77" s="227"/>
      <c r="AA77" s="227"/>
      <c r="AB77" s="227"/>
      <c r="AC77" s="227"/>
      <c r="AD77" s="227">
        <f t="shared" si="29"/>
        <v>7.9833600000000005E-2</v>
      </c>
      <c r="AE77" s="227"/>
      <c r="AF77" s="239"/>
    </row>
    <row r="78" spans="1:33" x14ac:dyDescent="0.2">
      <c r="B78" s="235" t="s">
        <v>108</v>
      </c>
      <c r="C78" s="227"/>
      <c r="D78" s="227"/>
      <c r="E78" s="227">
        <v>1</v>
      </c>
      <c r="F78" s="228">
        <f>F87</f>
        <v>79.2</v>
      </c>
      <c r="G78" s="227" t="s">
        <v>212</v>
      </c>
      <c r="H78" s="227" t="s">
        <v>208</v>
      </c>
      <c r="I78" s="227" t="s">
        <v>45</v>
      </c>
      <c r="J78" s="227" t="s">
        <v>89</v>
      </c>
      <c r="K78" s="227">
        <v>0</v>
      </c>
      <c r="L78" s="227">
        <v>1</v>
      </c>
      <c r="M78" s="227">
        <v>0</v>
      </c>
      <c r="N78" s="227">
        <v>4</v>
      </c>
      <c r="O78" s="227">
        <v>1</v>
      </c>
      <c r="P78" s="227">
        <v>0</v>
      </c>
      <c r="Q78" s="227">
        <f t="shared" si="28"/>
        <v>95.978000000000009</v>
      </c>
      <c r="R78" s="229"/>
      <c r="S78" s="227"/>
      <c r="T78" s="227"/>
      <c r="U78" s="227"/>
      <c r="V78" s="227"/>
      <c r="W78" s="238"/>
      <c r="X78" s="231"/>
      <c r="Y78" s="238"/>
      <c r="Z78" s="227"/>
      <c r="AA78" s="227"/>
      <c r="AB78" s="227"/>
      <c r="AC78" s="227"/>
      <c r="AD78" s="227">
        <f t="shared" si="29"/>
        <v>7.6014576000000007</v>
      </c>
      <c r="AE78" s="227"/>
      <c r="AF78" s="239"/>
    </row>
    <row r="79" spans="1:33" x14ac:dyDescent="0.2">
      <c r="B79" s="247" t="s">
        <v>173</v>
      </c>
      <c r="C79" s="175"/>
      <c r="D79" s="175"/>
      <c r="E79" s="175"/>
      <c r="F79" s="182">
        <f>Z27</f>
        <v>0.16591361642626729</v>
      </c>
      <c r="G79" s="175" t="s">
        <v>172</v>
      </c>
      <c r="H79" s="175" t="s">
        <v>208</v>
      </c>
      <c r="I79" s="175" t="s">
        <v>173</v>
      </c>
      <c r="J79" s="175" t="s">
        <v>90</v>
      </c>
      <c r="K79" s="175">
        <v>0</v>
      </c>
      <c r="L79" s="175">
        <v>1</v>
      </c>
      <c r="M79" s="175">
        <v>0</v>
      </c>
      <c r="N79" s="175">
        <v>7</v>
      </c>
      <c r="O79" s="175">
        <v>2</v>
      </c>
      <c r="P79" s="175">
        <v>0</v>
      </c>
      <c r="Q79" s="175">
        <f t="shared" si="28"/>
        <v>174.94900000000001</v>
      </c>
      <c r="R79" s="88"/>
      <c r="S79" s="175"/>
      <c r="T79" s="175"/>
      <c r="U79" s="175"/>
      <c r="V79" s="175"/>
      <c r="W79" s="180"/>
      <c r="X79" s="176"/>
      <c r="Y79" s="180"/>
      <c r="Z79" s="175"/>
      <c r="AA79" s="175"/>
      <c r="AB79" s="175"/>
      <c r="AC79" s="175"/>
      <c r="AD79" s="175">
        <f t="shared" si="29"/>
        <v>2.9026421280159038E-2</v>
      </c>
      <c r="AE79" s="175"/>
      <c r="AF79" s="184"/>
    </row>
    <row r="80" spans="1:33" x14ac:dyDescent="0.2">
      <c r="B80" s="188" t="s">
        <v>174</v>
      </c>
      <c r="C80" s="189"/>
      <c r="D80" s="189"/>
      <c r="E80" s="189"/>
      <c r="F80" s="196">
        <f>Z31</f>
        <v>0.39248785986877566</v>
      </c>
      <c r="G80" s="189" t="s">
        <v>172</v>
      </c>
      <c r="H80" s="189" t="s">
        <v>208</v>
      </c>
      <c r="I80" s="189" t="s">
        <v>174</v>
      </c>
      <c r="J80" s="189" t="s">
        <v>90</v>
      </c>
      <c r="K80" s="189">
        <v>0</v>
      </c>
      <c r="L80" s="189">
        <v>1</v>
      </c>
      <c r="M80" s="189">
        <v>0</v>
      </c>
      <c r="N80" s="189">
        <v>7</v>
      </c>
      <c r="O80" s="189">
        <v>2</v>
      </c>
      <c r="P80" s="189">
        <v>0</v>
      </c>
      <c r="Q80" s="189">
        <f>(K80*12.011)+(L80*1.008)+(N80*15.999)+(14.007*M80)+(O80*30.974)+(P80*32.066)</f>
        <v>174.94900000000001</v>
      </c>
      <c r="R80" s="248"/>
      <c r="S80" s="189"/>
      <c r="T80" s="189"/>
      <c r="U80" s="189"/>
      <c r="V80" s="189"/>
      <c r="W80" s="194"/>
      <c r="X80" s="190"/>
      <c r="Y80" s="194"/>
      <c r="Z80" s="189"/>
      <c r="AA80" s="189"/>
      <c r="AB80" s="189"/>
      <c r="AC80" s="189"/>
      <c r="AD80" s="189">
        <f t="shared" si="29"/>
        <v>6.8665358596182446E-2</v>
      </c>
      <c r="AE80" s="189"/>
      <c r="AF80" s="198"/>
    </row>
    <row r="81" spans="2:32" x14ac:dyDescent="0.2">
      <c r="B81" s="162" t="s">
        <v>109</v>
      </c>
      <c r="C81" s="163"/>
      <c r="D81" s="163"/>
      <c r="E81" s="163"/>
      <c r="F81" s="270">
        <f>SUM(X4:X23)</f>
        <v>5.3540116610802002</v>
      </c>
      <c r="G81" s="163" t="s">
        <v>168</v>
      </c>
      <c r="H81" s="163" t="s">
        <v>208</v>
      </c>
      <c r="I81" s="163" t="s">
        <v>109</v>
      </c>
      <c r="J81" s="163" t="s">
        <v>79</v>
      </c>
      <c r="K81" s="163">
        <v>0</v>
      </c>
      <c r="L81" s="163">
        <v>2</v>
      </c>
      <c r="M81" s="163">
        <v>0</v>
      </c>
      <c r="N81" s="249">
        <v>1</v>
      </c>
      <c r="O81" s="249">
        <v>0</v>
      </c>
      <c r="P81" s="249">
        <v>0</v>
      </c>
      <c r="Q81" s="249">
        <f t="shared" si="28"/>
        <v>18.015000000000001</v>
      </c>
      <c r="R81" s="250"/>
      <c r="S81" s="249"/>
      <c r="T81" s="249"/>
      <c r="U81" s="249"/>
      <c r="V81" s="249"/>
      <c r="W81" s="166"/>
      <c r="X81" s="164"/>
      <c r="Y81" s="166"/>
      <c r="Z81" s="163"/>
      <c r="AA81" s="163"/>
      <c r="AB81" s="163"/>
      <c r="AC81" s="163"/>
      <c r="AD81" s="163">
        <f t="shared" si="29"/>
        <v>9.645252007435981E-2</v>
      </c>
      <c r="AE81" s="163"/>
      <c r="AF81" s="169"/>
    </row>
    <row r="82" spans="2:32" x14ac:dyDescent="0.2">
      <c r="B82" s="240" t="s">
        <v>171</v>
      </c>
      <c r="C82" s="213"/>
      <c r="D82" s="213"/>
      <c r="E82" s="213"/>
      <c r="F82" s="214">
        <f>F80+F79</f>
        <v>0.55840147629504289</v>
      </c>
      <c r="G82" s="213" t="s">
        <v>172</v>
      </c>
      <c r="H82" s="213" t="s">
        <v>208</v>
      </c>
      <c r="I82" s="213" t="s">
        <v>48</v>
      </c>
      <c r="J82" s="213" t="s">
        <v>89</v>
      </c>
      <c r="K82" s="213">
        <v>0</v>
      </c>
      <c r="L82" s="213">
        <v>1</v>
      </c>
      <c r="M82" s="213">
        <v>0</v>
      </c>
      <c r="N82" s="213">
        <v>4</v>
      </c>
      <c r="O82" s="213">
        <v>1</v>
      </c>
      <c r="P82" s="213">
        <v>0</v>
      </c>
      <c r="Q82" s="213">
        <f>(K82*12.011)+(L82*1.008)+(N82*15.999)+(14.007*M82)+(O82*30.974)+(P82*32.066)</f>
        <v>95.978000000000009</v>
      </c>
      <c r="R82" s="251"/>
      <c r="S82" s="213"/>
      <c r="T82" s="213"/>
      <c r="U82" s="213"/>
      <c r="V82" s="213"/>
      <c r="W82" s="242"/>
      <c r="X82" s="241"/>
      <c r="Y82" s="242"/>
      <c r="Z82" s="213"/>
      <c r="AA82" s="213"/>
      <c r="AB82" s="213"/>
      <c r="AC82" s="213"/>
      <c r="AD82" s="213"/>
      <c r="AE82" s="213"/>
      <c r="AF82" s="243"/>
    </row>
    <row r="83" spans="2:32" ht="13.5" thickBot="1" x14ac:dyDescent="0.25">
      <c r="B83" s="252" t="s">
        <v>331</v>
      </c>
      <c r="C83" s="253"/>
      <c r="D83" s="253"/>
      <c r="E83" s="253"/>
      <c r="F83" s="254">
        <f>F78-F50</f>
        <v>79.195793672306948</v>
      </c>
      <c r="G83" s="253" t="s">
        <v>212</v>
      </c>
      <c r="H83" s="253" t="s">
        <v>208</v>
      </c>
      <c r="I83" s="253" t="s">
        <v>176</v>
      </c>
      <c r="J83" s="253" t="s">
        <v>89</v>
      </c>
      <c r="K83" s="253">
        <v>0</v>
      </c>
      <c r="L83" s="253">
        <v>1</v>
      </c>
      <c r="M83" s="253">
        <v>0</v>
      </c>
      <c r="N83" s="253">
        <v>4</v>
      </c>
      <c r="O83" s="253">
        <v>1</v>
      </c>
      <c r="P83" s="253">
        <v>0</v>
      </c>
      <c r="Q83" s="253">
        <v>95.978000000000009</v>
      </c>
      <c r="R83" s="255"/>
      <c r="S83" s="253"/>
      <c r="T83" s="253"/>
      <c r="U83" s="253"/>
      <c r="V83" s="253"/>
      <c r="W83" s="256"/>
      <c r="X83" s="257"/>
      <c r="Y83" s="256"/>
      <c r="Z83" s="253"/>
      <c r="AA83" s="253"/>
      <c r="AB83" s="253"/>
      <c r="AC83" s="253"/>
      <c r="AD83" s="253"/>
      <c r="AE83" s="253"/>
      <c r="AF83" s="258"/>
    </row>
    <row r="85" spans="2:32" ht="13.5" thickBot="1" x14ac:dyDescent="0.25">
      <c r="G85" s="4"/>
    </row>
    <row r="86" spans="2:32" x14ac:dyDescent="0.2">
      <c r="E86" s="259" t="s">
        <v>387</v>
      </c>
      <c r="F86" s="264"/>
    </row>
    <row r="87" spans="2:32" x14ac:dyDescent="0.2">
      <c r="E87" s="260" t="s">
        <v>348</v>
      </c>
      <c r="F87" s="261">
        <v>79.2</v>
      </c>
      <c r="G87" s="4"/>
      <c r="H87" s="4"/>
      <c r="I87" s="4"/>
      <c r="AF87" s="23"/>
    </row>
    <row r="88" spans="2:32" x14ac:dyDescent="0.2">
      <c r="E88" s="85" t="s">
        <v>350</v>
      </c>
      <c r="F88" s="261">
        <f>maintenance!G9</f>
        <v>22.723038468684685</v>
      </c>
      <c r="G88" s="4"/>
      <c r="H88" s="4"/>
      <c r="I88" s="4"/>
    </row>
    <row r="89" spans="2:32" ht="13.5" thickBot="1" x14ac:dyDescent="0.25">
      <c r="E89" s="262" t="s">
        <v>351</v>
      </c>
      <c r="F89" s="263">
        <f>46.666-F88</f>
        <v>23.942961531315312</v>
      </c>
      <c r="G89" s="2"/>
      <c r="H89" s="4"/>
      <c r="I89" s="4"/>
    </row>
    <row r="90" spans="2:32" x14ac:dyDescent="0.2">
      <c r="G90" s="4"/>
    </row>
    <row r="91" spans="2:32" x14ac:dyDescent="0.2">
      <c r="B91" s="285"/>
      <c r="G91" s="4"/>
    </row>
    <row r="92" spans="2:32" x14ac:dyDescent="0.2">
      <c r="B92" s="26"/>
      <c r="C92" s="26"/>
      <c r="G92" s="4"/>
    </row>
    <row r="93" spans="2:32" x14ac:dyDescent="0.2">
      <c r="C93" s="286"/>
      <c r="G93" s="4"/>
    </row>
    <row r="97" spans="3:7" x14ac:dyDescent="0.2">
      <c r="G97" s="4"/>
    </row>
    <row r="98" spans="3:7" x14ac:dyDescent="0.2">
      <c r="G98" s="4"/>
    </row>
    <row r="99" spans="3:7" x14ac:dyDescent="0.2">
      <c r="C99" s="286"/>
      <c r="G99" s="4"/>
    </row>
  </sheetData>
  <pageMargins left="0.75" right="0.75" top="0.72" bottom="0.47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"/>
  <sheetViews>
    <sheetView workbookViewId="0"/>
  </sheetViews>
  <sheetFormatPr defaultRowHeight="12.75" x14ac:dyDescent="0.2"/>
  <cols>
    <col min="1" max="1" width="3.85546875" customWidth="1"/>
    <col min="5" max="5" width="15" bestFit="1" customWidth="1"/>
  </cols>
  <sheetData>
    <row r="1" spans="2:10" x14ac:dyDescent="0.2">
      <c r="B1" s="26" t="s">
        <v>399</v>
      </c>
      <c r="I1" s="26" t="s">
        <v>238</v>
      </c>
    </row>
    <row r="2" spans="2:10" ht="13.5" thickBot="1" x14ac:dyDescent="0.25">
      <c r="I2" s="32" t="s">
        <v>357</v>
      </c>
      <c r="J2" t="s">
        <v>358</v>
      </c>
    </row>
    <row r="3" spans="2:10" x14ac:dyDescent="0.2">
      <c r="B3" s="115" t="s">
        <v>353</v>
      </c>
      <c r="C3" s="140"/>
      <c r="D3" s="140"/>
      <c r="E3" s="140"/>
      <c r="F3" s="140"/>
      <c r="G3" s="95"/>
    </row>
    <row r="4" spans="2:10" x14ac:dyDescent="0.2">
      <c r="B4" s="102" t="s">
        <v>258</v>
      </c>
      <c r="C4" s="35"/>
      <c r="D4" s="35"/>
      <c r="E4" s="35"/>
      <c r="F4" s="35"/>
      <c r="G4" s="97"/>
    </row>
    <row r="5" spans="2:10" x14ac:dyDescent="0.2">
      <c r="B5" s="102"/>
      <c r="C5" s="35" t="s">
        <v>259</v>
      </c>
      <c r="D5" s="35" t="s">
        <v>261</v>
      </c>
      <c r="E5" s="35" t="s">
        <v>263</v>
      </c>
      <c r="F5" s="45" t="s">
        <v>238</v>
      </c>
      <c r="G5" s="97" t="s">
        <v>262</v>
      </c>
    </row>
    <row r="6" spans="2:10" x14ac:dyDescent="0.2">
      <c r="B6" s="102" t="str">
        <f>biomass_WT!C4</f>
        <v>Protein</v>
      </c>
      <c r="C6" s="35">
        <f>biomass_WT!D4</f>
        <v>0.56000000000000005</v>
      </c>
      <c r="D6" s="35">
        <f>SUM(biomass_WT!F4:F23)</f>
        <v>5.169390569318816</v>
      </c>
      <c r="E6" s="35">
        <f>21.97/5.081</f>
        <v>4.3239519779570941</v>
      </c>
      <c r="F6" s="45" t="s">
        <v>357</v>
      </c>
      <c r="G6" s="97">
        <f>D6*E6</f>
        <v>22.352196577038843</v>
      </c>
    </row>
    <row r="7" spans="2:10" x14ac:dyDescent="0.2">
      <c r="B7" s="102" t="str">
        <f>biomass_WT!C24</f>
        <v>DNA</v>
      </c>
      <c r="C7" s="35">
        <f>biomass_WT!D24</f>
        <v>4.9000000000000002E-2</v>
      </c>
      <c r="D7" s="35">
        <f>SUM(biomass_WT!F24:F27)</f>
        <v>0.15940720009582546</v>
      </c>
      <c r="E7" s="35">
        <f>136.8/100.2</f>
        <v>1.3652694610778444</v>
      </c>
      <c r="F7" s="45" t="s">
        <v>357</v>
      </c>
      <c r="G7" s="97">
        <f>D7*E7</f>
        <v>0.21763378216675572</v>
      </c>
    </row>
    <row r="8" spans="2:10" x14ac:dyDescent="0.2">
      <c r="B8" s="102" t="str">
        <f>biomass_WT!C28</f>
        <v>RNA</v>
      </c>
      <c r="C8" s="35">
        <f>biomass_WT!D28</f>
        <v>0.122</v>
      </c>
      <c r="D8" s="35">
        <f>SUM(biomass_WT!F28:F31)</f>
        <v>0.37703558192118608</v>
      </c>
      <c r="E8" s="35">
        <f>256/630</f>
        <v>0.40634920634920635</v>
      </c>
      <c r="F8" s="45" t="s">
        <v>357</v>
      </c>
      <c r="G8" s="97">
        <f>D8*E8</f>
        <v>0.15320810947908514</v>
      </c>
    </row>
    <row r="9" spans="2:10" ht="13.5" thickBot="1" x14ac:dyDescent="0.25">
      <c r="B9" s="110"/>
      <c r="C9" s="111"/>
      <c r="D9" s="111"/>
      <c r="E9" s="111"/>
      <c r="F9" s="142" t="s">
        <v>262</v>
      </c>
      <c r="G9" s="141">
        <f>SUM(G6:G8)</f>
        <v>22.723038468684685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9"/>
  <sheetViews>
    <sheetView zoomScale="70" zoomScaleNormal="70" workbookViewId="0">
      <selection activeCell="F36" sqref="F9:F36"/>
    </sheetView>
  </sheetViews>
  <sheetFormatPr defaultRowHeight="12.75" x14ac:dyDescent="0.2"/>
  <cols>
    <col min="1" max="1" width="3.42578125" customWidth="1"/>
    <col min="2" max="2" width="62.42578125" bestFit="1" customWidth="1"/>
    <col min="3" max="3" width="14.28515625" bestFit="1" customWidth="1"/>
    <col min="4" max="4" width="10.7109375" bestFit="1" customWidth="1"/>
    <col min="5" max="5" width="8.85546875" customWidth="1"/>
    <col min="6" max="6" width="8.5703125" bestFit="1" customWidth="1"/>
    <col min="7" max="7" width="10" bestFit="1" customWidth="1"/>
    <col min="8" max="8" width="11" bestFit="1" customWidth="1"/>
    <col min="9" max="9" width="7" bestFit="1" customWidth="1"/>
    <col min="11" max="11" width="12.42578125" bestFit="1" customWidth="1"/>
  </cols>
  <sheetData>
    <row r="1" spans="2:13" x14ac:dyDescent="0.2">
      <c r="B1" s="26" t="s">
        <v>541</v>
      </c>
      <c r="E1" s="6"/>
      <c r="F1" s="6"/>
      <c r="G1" s="6"/>
      <c r="H1" s="6"/>
      <c r="I1" s="6"/>
      <c r="K1" s="27" t="s">
        <v>356</v>
      </c>
      <c r="L1" s="4"/>
    </row>
    <row r="2" spans="2:13" ht="13.5" thickBot="1" x14ac:dyDescent="0.25">
      <c r="D2" s="26"/>
      <c r="E2" s="6"/>
      <c r="F2" s="6"/>
      <c r="G2" s="6"/>
      <c r="H2" s="6"/>
      <c r="I2" s="6"/>
      <c r="K2" t="s">
        <v>355</v>
      </c>
      <c r="L2" t="s">
        <v>354</v>
      </c>
    </row>
    <row r="3" spans="2:13" x14ac:dyDescent="0.2">
      <c r="B3" s="115" t="s">
        <v>238</v>
      </c>
      <c r="C3" s="116" t="s">
        <v>236</v>
      </c>
      <c r="D3" s="116" t="s">
        <v>220</v>
      </c>
      <c r="E3" s="116" t="s">
        <v>240</v>
      </c>
      <c r="F3" s="116" t="s">
        <v>291</v>
      </c>
      <c r="G3" s="116" t="s">
        <v>221</v>
      </c>
      <c r="H3" s="116" t="s">
        <v>56</v>
      </c>
      <c r="I3" s="117" t="s">
        <v>57</v>
      </c>
      <c r="J3" s="26"/>
      <c r="K3" s="32" t="s">
        <v>357</v>
      </c>
      <c r="L3" t="s">
        <v>358</v>
      </c>
      <c r="M3" s="4"/>
    </row>
    <row r="4" spans="2:13" x14ac:dyDescent="0.2">
      <c r="B4" s="118" t="s">
        <v>315</v>
      </c>
      <c r="C4" s="35"/>
      <c r="D4" s="35"/>
      <c r="E4" s="35"/>
      <c r="F4" s="33"/>
      <c r="G4" s="33"/>
      <c r="H4" s="38"/>
      <c r="I4" s="119"/>
      <c r="K4" s="32" t="s">
        <v>364</v>
      </c>
      <c r="L4" s="32" t="s">
        <v>365</v>
      </c>
      <c r="M4" s="4"/>
    </row>
    <row r="5" spans="2:13" s="4" customFormat="1" x14ac:dyDescent="0.2">
      <c r="B5" s="120" t="s">
        <v>359</v>
      </c>
      <c r="C5" s="40"/>
      <c r="D5" s="41"/>
      <c r="E5" s="41">
        <f>(0.00000000000083/C42)</f>
        <v>2.7666666666666666</v>
      </c>
      <c r="F5" s="39" t="s">
        <v>21</v>
      </c>
      <c r="G5" s="33">
        <f>VLOOKUP(F5,biomass_WT!G:Q,11,0)</f>
        <v>90.17</v>
      </c>
      <c r="H5" s="42">
        <f>(I5/G5)*1000</f>
        <v>3.0682784370263574E-2</v>
      </c>
      <c r="I5" s="121">
        <f>E5/1000</f>
        <v>2.7666666666666664E-3</v>
      </c>
      <c r="K5" s="50" t="s">
        <v>386</v>
      </c>
      <c r="L5" s="32" t="s">
        <v>383</v>
      </c>
      <c r="M5"/>
    </row>
    <row r="6" spans="2:13" s="4" customFormat="1" x14ac:dyDescent="0.2">
      <c r="B6" s="120" t="s">
        <v>359</v>
      </c>
      <c r="C6" s="40"/>
      <c r="D6" s="41"/>
      <c r="E6" s="41">
        <f>(0.00000000000027/C42)</f>
        <v>0.90000000000000013</v>
      </c>
      <c r="F6" s="39" t="s">
        <v>22</v>
      </c>
      <c r="G6" s="33">
        <f>VLOOKUP(F6,biomass_WT!G:Q,11,0)</f>
        <v>148.274</v>
      </c>
      <c r="H6" s="42">
        <f>(I6/G6)*1000</f>
        <v>6.0698436678042009E-3</v>
      </c>
      <c r="I6" s="121">
        <f>E6/1000</f>
        <v>9.0000000000000008E-4</v>
      </c>
    </row>
    <row r="7" spans="2:13" x14ac:dyDescent="0.2">
      <c r="B7" s="118" t="s">
        <v>305</v>
      </c>
      <c r="C7" s="35"/>
      <c r="D7" s="35"/>
      <c r="E7" s="35"/>
      <c r="F7" s="43"/>
      <c r="G7" s="35"/>
      <c r="H7" s="35"/>
      <c r="I7" s="97"/>
      <c r="K7" s="375" t="s">
        <v>539</v>
      </c>
    </row>
    <row r="8" spans="2:13" x14ac:dyDescent="0.2">
      <c r="B8" s="122" t="s">
        <v>247</v>
      </c>
      <c r="C8" s="35"/>
      <c r="D8" s="35">
        <v>0.125</v>
      </c>
      <c r="E8" s="35"/>
      <c r="F8" s="39" t="s">
        <v>26</v>
      </c>
      <c r="G8" s="33">
        <f>VLOOKUP(F8,biomass_WT!G:Q,11,0)</f>
        <v>805.54500000000007</v>
      </c>
      <c r="H8" s="38">
        <f t="shared" ref="H8:H15" si="0">D8*$C$43</f>
        <v>2.7916666666666671E-4</v>
      </c>
      <c r="I8" s="119">
        <f>G8*H8/1000</f>
        <v>2.2488131250000007E-4</v>
      </c>
      <c r="K8" s="32"/>
    </row>
    <row r="9" spans="2:13" x14ac:dyDescent="0.2">
      <c r="B9" s="122" t="s">
        <v>247</v>
      </c>
      <c r="C9" s="35"/>
      <c r="D9" s="35">
        <v>7.4999999999999997E-2</v>
      </c>
      <c r="E9" s="35"/>
      <c r="F9" s="39" t="s">
        <v>27</v>
      </c>
      <c r="G9" s="33">
        <f>VLOOKUP(F9,biomass_WT!G:Q,11,0)</f>
        <v>763.50800000000004</v>
      </c>
      <c r="H9" s="38">
        <f t="shared" si="0"/>
        <v>1.6750000000000003E-4</v>
      </c>
      <c r="I9" s="119">
        <f t="shared" ref="I9:I36" si="1">G9*H9/1000</f>
        <v>1.2788759000000003E-4</v>
      </c>
    </row>
    <row r="10" spans="2:13" x14ac:dyDescent="0.2">
      <c r="B10" s="122" t="s">
        <v>247</v>
      </c>
      <c r="C10" s="35"/>
      <c r="D10" s="35">
        <v>4.3999999999999997E-2</v>
      </c>
      <c r="E10" s="35"/>
      <c r="F10" s="39" t="s">
        <v>33</v>
      </c>
      <c r="G10" s="33">
        <f>VLOOKUP(F10,biomass_WT!G:Q,11,0)</f>
        <v>862.57299999999998</v>
      </c>
      <c r="H10" s="38">
        <f t="shared" si="0"/>
        <v>9.8266666666666679E-5</v>
      </c>
      <c r="I10" s="119">
        <f t="shared" si="1"/>
        <v>8.4762173466666676E-5</v>
      </c>
    </row>
    <row r="11" spans="2:13" x14ac:dyDescent="0.2">
      <c r="B11" s="122" t="s">
        <v>247</v>
      </c>
      <c r="C11" s="35"/>
      <c r="D11" s="35">
        <v>1.4E-2</v>
      </c>
      <c r="E11" s="35"/>
      <c r="F11" s="39" t="s">
        <v>245</v>
      </c>
      <c r="G11" s="33">
        <f>VLOOKUP(F11,biomass_WT!G:Q,11,0)</f>
        <v>848.54600000000005</v>
      </c>
      <c r="H11" s="38">
        <f t="shared" si="0"/>
        <v>3.126666666666667E-5</v>
      </c>
      <c r="I11" s="119">
        <f t="shared" si="1"/>
        <v>2.6531204933333338E-5</v>
      </c>
    </row>
    <row r="12" spans="2:13" x14ac:dyDescent="0.2">
      <c r="B12" s="122" t="s">
        <v>239</v>
      </c>
      <c r="C12" s="35"/>
      <c r="D12" s="35">
        <v>0.8</v>
      </c>
      <c r="E12" s="35"/>
      <c r="F12" s="43" t="s">
        <v>29</v>
      </c>
      <c r="G12" s="33">
        <f>VLOOKUP(F12,biomass_WT!G:Q,11,0)</f>
        <v>662.42199999999991</v>
      </c>
      <c r="H12" s="38">
        <f t="shared" si="0"/>
        <v>1.7866666666666671E-3</v>
      </c>
      <c r="I12" s="121">
        <f t="shared" si="1"/>
        <v>1.1835273066666666E-3</v>
      </c>
    </row>
    <row r="13" spans="2:13" x14ac:dyDescent="0.2">
      <c r="B13" s="122" t="s">
        <v>239</v>
      </c>
      <c r="C13" s="35"/>
      <c r="D13" s="35">
        <v>0.02</v>
      </c>
      <c r="E13" s="35"/>
      <c r="F13" s="43" t="s">
        <v>30</v>
      </c>
      <c r="G13" s="33">
        <f>VLOOKUP(F13,biomass_WT!G:Q,11,0)</f>
        <v>663.43</v>
      </c>
      <c r="H13" s="38">
        <f t="shared" si="0"/>
        <v>4.4666666666666677E-5</v>
      </c>
      <c r="I13" s="121">
        <f t="shared" si="1"/>
        <v>2.9633206666666672E-5</v>
      </c>
    </row>
    <row r="14" spans="2:13" x14ac:dyDescent="0.2">
      <c r="B14" s="122" t="s">
        <v>239</v>
      </c>
      <c r="C14" s="35"/>
      <c r="D14" s="35">
        <v>0.05</v>
      </c>
      <c r="E14" s="35"/>
      <c r="F14" s="43" t="s">
        <v>31</v>
      </c>
      <c r="G14" s="33">
        <f>VLOOKUP(F14,biomass_WT!G:Q,11,0)</f>
        <v>740.38499999999999</v>
      </c>
      <c r="H14" s="38">
        <f t="shared" si="0"/>
        <v>1.1166666666666669E-4</v>
      </c>
      <c r="I14" s="123">
        <f t="shared" si="1"/>
        <v>8.2676325000000022E-5</v>
      </c>
    </row>
    <row r="15" spans="2:13" x14ac:dyDescent="0.2">
      <c r="B15" s="122" t="s">
        <v>239</v>
      </c>
      <c r="C15" s="35"/>
      <c r="D15" s="35">
        <v>0.15</v>
      </c>
      <c r="E15" s="35"/>
      <c r="F15" s="43" t="s">
        <v>32</v>
      </c>
      <c r="G15" s="33">
        <f>VLOOKUP(F15,biomass_WT!G:Q,11,0)</f>
        <v>741.39300000000003</v>
      </c>
      <c r="H15" s="38">
        <f t="shared" si="0"/>
        <v>3.3500000000000007E-4</v>
      </c>
      <c r="I15" s="123">
        <f t="shared" si="1"/>
        <v>2.4836665500000007E-4</v>
      </c>
    </row>
    <row r="16" spans="2:13" x14ac:dyDescent="0.2">
      <c r="B16" s="122" t="s">
        <v>293</v>
      </c>
      <c r="C16" s="35">
        <v>10000</v>
      </c>
      <c r="D16" s="35"/>
      <c r="E16" s="35"/>
      <c r="F16" s="43" t="s">
        <v>282</v>
      </c>
      <c r="G16" s="33">
        <f>VLOOKUP(F16,biomass_WT!G:Q,11,0)</f>
        <v>924.25799999999992</v>
      </c>
      <c r="H16" s="38">
        <f>((C16/C40)*1000)/C42</f>
        <v>5.535259603675412E-5</v>
      </c>
      <c r="I16" s="123">
        <f t="shared" si="1"/>
        <v>5.1160079707738285E-5</v>
      </c>
    </row>
    <row r="17" spans="2:10" x14ac:dyDescent="0.2">
      <c r="B17" s="122" t="s">
        <v>424</v>
      </c>
      <c r="C17" s="35">
        <v>250</v>
      </c>
      <c r="D17" s="35"/>
      <c r="E17" s="35"/>
      <c r="F17" s="43" t="s">
        <v>423</v>
      </c>
      <c r="G17" s="33">
        <f>VLOOKUP(F17,biomass_WT!G:Q,11,0)</f>
        <v>243.30699999999999</v>
      </c>
      <c r="H17" s="38">
        <v>1.9999999999999999E-6</v>
      </c>
      <c r="I17" s="123">
        <f>G17*H17/1000</f>
        <v>4.8661399999999999E-7</v>
      </c>
      <c r="J17" t="s">
        <v>426</v>
      </c>
    </row>
    <row r="18" spans="2:10" x14ac:dyDescent="0.2">
      <c r="B18" s="102"/>
      <c r="C18" s="35"/>
      <c r="D18" s="35">
        <v>0.1</v>
      </c>
      <c r="E18" s="35"/>
      <c r="F18" s="43" t="s">
        <v>300</v>
      </c>
      <c r="G18" s="33">
        <f>VLOOKUP(F18,biomass_WT!G:Q,11,0)</f>
        <v>471.42999999999995</v>
      </c>
      <c r="H18" s="38">
        <f t="shared" ref="H18:H36" si="2">D18*$C$43</f>
        <v>2.2333333333333339E-4</v>
      </c>
      <c r="I18" s="119">
        <f t="shared" si="1"/>
        <v>1.0528603333333335E-4</v>
      </c>
    </row>
    <row r="19" spans="2:10" x14ac:dyDescent="0.2">
      <c r="B19" s="102"/>
      <c r="C19" s="35"/>
      <c r="D19" s="35">
        <v>0.1</v>
      </c>
      <c r="E19" s="35"/>
      <c r="F19" s="39" t="s">
        <v>248</v>
      </c>
      <c r="G19" s="33">
        <f>VLOOKUP(F19,biomass_WT!G:Q,11,0)</f>
        <v>443.41999999999996</v>
      </c>
      <c r="H19" s="38">
        <f t="shared" si="2"/>
        <v>2.2333333333333339E-4</v>
      </c>
      <c r="I19" s="119">
        <f t="shared" si="1"/>
        <v>9.9030466666666673E-5</v>
      </c>
    </row>
    <row r="20" spans="2:10" x14ac:dyDescent="0.2">
      <c r="B20" s="102"/>
      <c r="C20" s="35"/>
      <c r="D20" s="35">
        <v>0.1</v>
      </c>
      <c r="E20" s="35"/>
      <c r="F20" s="41" t="s">
        <v>339</v>
      </c>
      <c r="G20" s="33">
        <f>VLOOKUP(F20,biomass_WT!G:Q,11,0)</f>
        <v>455.43099999999993</v>
      </c>
      <c r="H20" s="38">
        <f t="shared" si="2"/>
        <v>2.2333333333333339E-4</v>
      </c>
      <c r="I20" s="119">
        <f t="shared" si="1"/>
        <v>1.0171292333333334E-4</v>
      </c>
    </row>
    <row r="21" spans="2:10" x14ac:dyDescent="0.2">
      <c r="B21" s="102"/>
      <c r="C21" s="35"/>
      <c r="D21" s="35">
        <v>0.1</v>
      </c>
      <c r="E21" s="35"/>
      <c r="F21" s="41" t="s">
        <v>340</v>
      </c>
      <c r="G21" s="33">
        <f>VLOOKUP(F21,biomass_WT!G:Q,11,0)</f>
        <v>458.45499999999993</v>
      </c>
      <c r="H21" s="38">
        <f t="shared" si="2"/>
        <v>2.2333333333333339E-4</v>
      </c>
      <c r="I21" s="119">
        <f t="shared" si="1"/>
        <v>1.0238828333333334E-4</v>
      </c>
    </row>
    <row r="22" spans="2:10" x14ac:dyDescent="0.2">
      <c r="B22" s="102"/>
      <c r="C22" s="35"/>
      <c r="D22" s="35">
        <v>0.1</v>
      </c>
      <c r="E22" s="35"/>
      <c r="F22" s="43" t="s">
        <v>278</v>
      </c>
      <c r="G22" s="33">
        <f>VLOOKUP(F22,biomass_WT!G:Q,11,0)</f>
        <v>224.16799999999998</v>
      </c>
      <c r="H22" s="38">
        <f t="shared" si="2"/>
        <v>2.2333333333333339E-4</v>
      </c>
      <c r="I22" s="119">
        <f t="shared" si="1"/>
        <v>5.0064186666666676E-5</v>
      </c>
    </row>
    <row r="23" spans="2:10" x14ac:dyDescent="0.2">
      <c r="B23" s="102"/>
      <c r="C23" s="35"/>
      <c r="D23" s="35">
        <v>0.1</v>
      </c>
      <c r="E23" s="35"/>
      <c r="F23" s="348" t="s">
        <v>251</v>
      </c>
      <c r="G23" s="349"/>
      <c r="H23" s="350"/>
      <c r="I23" s="351"/>
    </row>
    <row r="24" spans="2:10" x14ac:dyDescent="0.2">
      <c r="B24" s="102"/>
      <c r="C24" s="35"/>
      <c r="D24" s="35">
        <v>0.1</v>
      </c>
      <c r="E24" s="35"/>
      <c r="F24" s="352" t="s">
        <v>252</v>
      </c>
      <c r="G24" s="349"/>
      <c r="H24" s="350"/>
      <c r="I24" s="351"/>
    </row>
    <row r="25" spans="2:10" x14ac:dyDescent="0.2">
      <c r="B25" s="102"/>
      <c r="C25" s="35"/>
      <c r="D25" s="35">
        <v>0.1</v>
      </c>
      <c r="E25" s="35"/>
      <c r="F25" s="43" t="s">
        <v>314</v>
      </c>
      <c r="G25" s="33">
        <f>VLOOKUP(F25,biomass_WT!G:Q,11,0)</f>
        <v>245.12699999999998</v>
      </c>
      <c r="H25" s="38">
        <f t="shared" si="2"/>
        <v>2.2333333333333339E-4</v>
      </c>
      <c r="I25" s="119">
        <f t="shared" si="1"/>
        <v>5.4745030000000007E-5</v>
      </c>
    </row>
    <row r="26" spans="2:10" x14ac:dyDescent="0.2">
      <c r="B26" s="102"/>
      <c r="C26" s="35"/>
      <c r="D26" s="35">
        <v>0.1</v>
      </c>
      <c r="E26" s="35"/>
      <c r="F26" s="43" t="s">
        <v>276</v>
      </c>
      <c r="G26" s="33">
        <f>VLOOKUP(F26,biomass_WT!G:Q,11,0)</f>
        <v>399.452</v>
      </c>
      <c r="H26" s="38">
        <f t="shared" si="2"/>
        <v>2.2333333333333339E-4</v>
      </c>
      <c r="I26" s="119">
        <f t="shared" si="1"/>
        <v>8.9210946666666696E-5</v>
      </c>
    </row>
    <row r="27" spans="2:10" x14ac:dyDescent="0.2">
      <c r="B27" s="102"/>
      <c r="C27" s="35"/>
      <c r="D27" s="35">
        <v>0.1</v>
      </c>
      <c r="E27" s="35"/>
      <c r="F27" s="39" t="s">
        <v>257</v>
      </c>
      <c r="G27" s="33">
        <f>VLOOKUP(F27,biomass_WT!G:Q,11,0)</f>
        <v>422.29499999999996</v>
      </c>
      <c r="H27" s="38">
        <f t="shared" si="2"/>
        <v>2.2333333333333339E-4</v>
      </c>
      <c r="I27" s="119">
        <f t="shared" si="1"/>
        <v>9.4312550000000012E-5</v>
      </c>
    </row>
    <row r="28" spans="2:10" x14ac:dyDescent="0.2">
      <c r="B28" s="102"/>
      <c r="C28" s="35"/>
      <c r="D28" s="35">
        <v>0.1</v>
      </c>
      <c r="E28" s="35"/>
      <c r="F28" s="39" t="s">
        <v>253</v>
      </c>
      <c r="G28" s="33">
        <f>VLOOKUP(F28,biomass_WT!G:Q,11,0)</f>
        <v>1579.6081999999997</v>
      </c>
      <c r="H28" s="38">
        <f t="shared" si="2"/>
        <v>2.2333333333333339E-4</v>
      </c>
      <c r="I28" s="119">
        <f t="shared" si="1"/>
        <v>3.527791646666667E-4</v>
      </c>
    </row>
    <row r="29" spans="2:10" x14ac:dyDescent="0.2">
      <c r="B29" s="102"/>
      <c r="C29" s="35"/>
      <c r="D29" s="35">
        <v>0.1</v>
      </c>
      <c r="E29" s="35"/>
      <c r="F29" s="352" t="s">
        <v>249</v>
      </c>
      <c r="G29" s="349"/>
      <c r="H29" s="350"/>
      <c r="I29" s="351"/>
    </row>
    <row r="30" spans="2:10" x14ac:dyDescent="0.2">
      <c r="B30" s="102"/>
      <c r="C30" s="35"/>
      <c r="D30" s="35">
        <v>0.1</v>
      </c>
      <c r="E30" s="35"/>
      <c r="F30" s="39" t="s">
        <v>325</v>
      </c>
      <c r="G30" s="33">
        <f>VLOOKUP(F30,biomass_WT!G:Q,11,0)</f>
        <v>705.12400000000002</v>
      </c>
      <c r="H30" s="38">
        <f t="shared" si="2"/>
        <v>2.2333333333333339E-4</v>
      </c>
      <c r="I30" s="119">
        <f t="shared" si="1"/>
        <v>1.5747769333333337E-4</v>
      </c>
    </row>
    <row r="31" spans="2:10" x14ac:dyDescent="0.2">
      <c r="B31" s="102"/>
      <c r="C31" s="35"/>
      <c r="D31" s="35">
        <v>0.1</v>
      </c>
      <c r="E31" s="35"/>
      <c r="F31" s="39" t="s">
        <v>324</v>
      </c>
      <c r="G31" s="33">
        <f>VLOOKUP(F31,biomass_WT!G:Q,11,0)</f>
        <v>719.15099999999995</v>
      </c>
      <c r="H31" s="38">
        <f t="shared" si="2"/>
        <v>2.2333333333333339E-4</v>
      </c>
      <c r="I31" s="119">
        <f>G31*H31/1000</f>
        <v>1.6061039000000001E-4</v>
      </c>
    </row>
    <row r="32" spans="2:10" x14ac:dyDescent="0.2">
      <c r="B32" s="102"/>
      <c r="C32" s="35"/>
      <c r="D32" s="35">
        <v>0.1</v>
      </c>
      <c r="E32" s="35"/>
      <c r="F32" s="39" t="s">
        <v>250</v>
      </c>
      <c r="G32" s="33">
        <f>VLOOKUP(F32,biomass_WT!G:Q,11,0)</f>
        <v>836.94489999999996</v>
      </c>
      <c r="H32" s="38">
        <f t="shared" si="2"/>
        <v>2.2333333333333339E-4</v>
      </c>
      <c r="I32" s="119">
        <f t="shared" si="1"/>
        <v>1.8691769433333335E-4</v>
      </c>
    </row>
    <row r="33" spans="2:11" x14ac:dyDescent="0.2">
      <c r="B33" s="102"/>
      <c r="C33" s="35"/>
      <c r="D33" s="35">
        <v>0.1</v>
      </c>
      <c r="E33" s="35"/>
      <c r="F33" s="39" t="s">
        <v>343</v>
      </c>
      <c r="G33" s="33">
        <f>VLOOKUP(F33,biomass_WT!G:Q,11,0)</f>
        <v>690.62689999999998</v>
      </c>
      <c r="H33" s="38">
        <f t="shared" si="2"/>
        <v>2.2333333333333339E-4</v>
      </c>
      <c r="I33" s="119">
        <f t="shared" si="1"/>
        <v>1.5424000766666671E-4</v>
      </c>
    </row>
    <row r="34" spans="2:11" x14ac:dyDescent="0.2">
      <c r="B34" s="102"/>
      <c r="C34" s="35"/>
      <c r="D34" s="35">
        <v>0.1</v>
      </c>
      <c r="E34" s="35"/>
      <c r="F34" s="39" t="s">
        <v>337</v>
      </c>
      <c r="G34" s="33">
        <f>VLOOKUP(F34,biomass_WT!G:Q,11,0)</f>
        <v>908.69690000000003</v>
      </c>
      <c r="H34" s="38">
        <f t="shared" si="2"/>
        <v>2.2333333333333339E-4</v>
      </c>
      <c r="I34" s="119">
        <f t="shared" si="1"/>
        <v>2.029423076666667E-4</v>
      </c>
    </row>
    <row r="35" spans="2:11" x14ac:dyDescent="0.2">
      <c r="B35" s="102"/>
      <c r="C35" s="35"/>
      <c r="D35" s="35">
        <v>0.1</v>
      </c>
      <c r="E35" s="35"/>
      <c r="F35" s="39" t="s">
        <v>297</v>
      </c>
      <c r="G35" s="33">
        <f>VLOOKUP(F35,biomass_WT!G:Q,11,0)</f>
        <v>376.36900000000003</v>
      </c>
      <c r="H35" s="38">
        <f t="shared" si="2"/>
        <v>2.2333333333333339E-4</v>
      </c>
      <c r="I35" s="119">
        <f t="shared" si="1"/>
        <v>8.4055743333333357E-5</v>
      </c>
    </row>
    <row r="36" spans="2:11" x14ac:dyDescent="0.2">
      <c r="B36" s="102"/>
      <c r="C36" s="35"/>
      <c r="D36" s="35">
        <v>0.1</v>
      </c>
      <c r="E36" s="35"/>
      <c r="F36" s="39" t="s">
        <v>28</v>
      </c>
      <c r="G36" s="33">
        <f>VLOOKUP(F36,biomass_WT!G:Q,11,0)</f>
        <v>783.54099999999994</v>
      </c>
      <c r="H36" s="38">
        <f t="shared" si="2"/>
        <v>2.2333333333333339E-4</v>
      </c>
      <c r="I36" s="119">
        <f t="shared" si="1"/>
        <v>1.7499082333333334E-4</v>
      </c>
      <c r="K36" s="24"/>
    </row>
    <row r="37" spans="2:11" ht="13.5" thickBot="1" x14ac:dyDescent="0.25">
      <c r="B37" s="110"/>
      <c r="C37" s="111"/>
      <c r="D37" s="111"/>
      <c r="E37" s="111"/>
      <c r="F37" s="111"/>
      <c r="G37" s="111"/>
      <c r="H37" s="124" t="s">
        <v>374</v>
      </c>
      <c r="I37" s="125">
        <f>SUM(I4:I36)</f>
        <v>7.8973433789410723E-3</v>
      </c>
    </row>
    <row r="38" spans="2:11" ht="13.5" thickBot="1" x14ac:dyDescent="0.25"/>
    <row r="39" spans="2:11" x14ac:dyDescent="0.2">
      <c r="B39" s="115" t="s">
        <v>372</v>
      </c>
      <c r="C39" s="116" t="s">
        <v>373</v>
      </c>
      <c r="D39" s="116" t="s">
        <v>238</v>
      </c>
      <c r="E39" s="126"/>
      <c r="F39" s="126"/>
      <c r="G39" s="75"/>
    </row>
    <row r="40" spans="2:11" x14ac:dyDescent="0.2">
      <c r="B40" s="127" t="s">
        <v>371</v>
      </c>
      <c r="C40" s="46">
        <v>6.0220000000000003E+23</v>
      </c>
      <c r="D40" s="33"/>
      <c r="E40" s="51"/>
      <c r="F40" s="51"/>
      <c r="G40" s="76"/>
    </row>
    <row r="41" spans="2:11" x14ac:dyDescent="0.2">
      <c r="B41" s="127" t="s">
        <v>375</v>
      </c>
      <c r="C41" s="46">
        <v>6.7000000000000004E-16</v>
      </c>
      <c r="D41" s="47" t="s">
        <v>364</v>
      </c>
      <c r="E41" s="51"/>
      <c r="F41" s="51"/>
      <c r="G41" s="76"/>
    </row>
    <row r="42" spans="2:11" x14ac:dyDescent="0.2">
      <c r="B42" s="127" t="s">
        <v>376</v>
      </c>
      <c r="C42" s="46">
        <v>2.9999999999999998E-13</v>
      </c>
      <c r="D42" s="47" t="s">
        <v>364</v>
      </c>
      <c r="E42" s="51"/>
      <c r="F42" s="51"/>
      <c r="G42" s="76"/>
    </row>
    <row r="43" spans="2:11" x14ac:dyDescent="0.2">
      <c r="B43" s="102" t="s">
        <v>237</v>
      </c>
      <c r="C43" s="46">
        <f>C41/C42</f>
        <v>2.2333333333333337E-3</v>
      </c>
      <c r="D43" s="47" t="s">
        <v>364</v>
      </c>
      <c r="E43" s="51"/>
      <c r="F43" s="51"/>
      <c r="G43" s="76"/>
    </row>
    <row r="44" spans="2:11" x14ac:dyDescent="0.2">
      <c r="B44" s="127" t="s">
        <v>377</v>
      </c>
      <c r="C44" s="48">
        <v>9.4999999999999999E-13</v>
      </c>
      <c r="D44" s="47" t="s">
        <v>378</v>
      </c>
      <c r="E44" s="51"/>
      <c r="F44" s="51"/>
      <c r="G44" s="76"/>
    </row>
    <row r="45" spans="2:11" x14ac:dyDescent="0.2">
      <c r="B45" s="128" t="s">
        <v>376</v>
      </c>
      <c r="C45" s="48">
        <v>2.8999999999999998E-13</v>
      </c>
      <c r="D45" s="47" t="s">
        <v>378</v>
      </c>
      <c r="E45" s="51"/>
      <c r="F45" s="51"/>
      <c r="G45" s="76"/>
    </row>
    <row r="46" spans="2:11" x14ac:dyDescent="0.2">
      <c r="B46" s="59"/>
      <c r="C46" s="51"/>
      <c r="D46" s="51"/>
      <c r="E46" s="51"/>
      <c r="F46" s="129"/>
      <c r="G46" s="73"/>
      <c r="H46" s="22"/>
      <c r="I46" s="23"/>
    </row>
    <row r="47" spans="2:11" x14ac:dyDescent="0.2">
      <c r="B47" s="130" t="s">
        <v>379</v>
      </c>
      <c r="C47" s="35"/>
      <c r="D47" s="35"/>
      <c r="E47" s="35"/>
      <c r="F47" s="35"/>
      <c r="G47" s="97"/>
    </row>
    <row r="48" spans="2:11" x14ac:dyDescent="0.2">
      <c r="B48" s="131" t="s">
        <v>382</v>
      </c>
      <c r="C48" s="36"/>
      <c r="D48" s="36"/>
      <c r="E48" s="36"/>
      <c r="F48" s="36"/>
      <c r="G48" s="132"/>
      <c r="H48" s="26"/>
    </row>
    <row r="49" spans="2:8" x14ac:dyDescent="0.2">
      <c r="B49" s="130" t="s">
        <v>307</v>
      </c>
      <c r="C49" s="37" t="s">
        <v>381</v>
      </c>
      <c r="D49" s="37" t="s">
        <v>385</v>
      </c>
      <c r="E49" s="37" t="s">
        <v>385</v>
      </c>
      <c r="F49" s="37" t="s">
        <v>385</v>
      </c>
      <c r="G49" s="133" t="s">
        <v>385</v>
      </c>
      <c r="H49" s="26"/>
    </row>
    <row r="50" spans="2:8" x14ac:dyDescent="0.2">
      <c r="B50" s="134" t="s">
        <v>264</v>
      </c>
      <c r="C50" s="41" t="s">
        <v>299</v>
      </c>
      <c r="D50" s="35" t="s">
        <v>300</v>
      </c>
      <c r="E50" s="35"/>
      <c r="F50" s="35"/>
      <c r="G50" s="97"/>
    </row>
    <row r="51" spans="2:8" x14ac:dyDescent="0.2">
      <c r="B51" s="134" t="s">
        <v>269</v>
      </c>
      <c r="C51" s="35" t="s">
        <v>286</v>
      </c>
      <c r="D51" s="35" t="s">
        <v>248</v>
      </c>
      <c r="E51" s="41" t="s">
        <v>339</v>
      </c>
      <c r="F51" s="41" t="s">
        <v>340</v>
      </c>
      <c r="G51" s="97"/>
    </row>
    <row r="52" spans="2:8" x14ac:dyDescent="0.2">
      <c r="B52" s="134" t="s">
        <v>265</v>
      </c>
      <c r="C52" s="41" t="s">
        <v>283</v>
      </c>
      <c r="D52" s="369" t="s">
        <v>332</v>
      </c>
      <c r="E52" s="35"/>
      <c r="F52" s="35"/>
      <c r="G52" s="97"/>
    </row>
    <row r="53" spans="2:8" x14ac:dyDescent="0.2">
      <c r="B53" s="134" t="s">
        <v>266</v>
      </c>
      <c r="C53" s="41" t="s">
        <v>284</v>
      </c>
      <c r="D53" s="35" t="s">
        <v>278</v>
      </c>
      <c r="E53" s="35"/>
      <c r="F53" s="35"/>
      <c r="G53" s="97"/>
    </row>
    <row r="54" spans="2:8" x14ac:dyDescent="0.2">
      <c r="B54" s="134" t="s">
        <v>267</v>
      </c>
      <c r="C54" s="41" t="s">
        <v>294</v>
      </c>
      <c r="D54" s="41" t="s">
        <v>26</v>
      </c>
      <c r="E54" s="41" t="s">
        <v>27</v>
      </c>
      <c r="F54" s="41" t="s">
        <v>33</v>
      </c>
      <c r="G54" s="135" t="s">
        <v>245</v>
      </c>
      <c r="H54" s="4"/>
    </row>
    <row r="55" spans="2:8" x14ac:dyDescent="0.2">
      <c r="B55" s="371" t="s">
        <v>268</v>
      </c>
      <c r="C55" s="372" t="s">
        <v>285</v>
      </c>
      <c r="D55" s="373" t="s">
        <v>251</v>
      </c>
      <c r="E55" s="35"/>
      <c r="F55" s="35"/>
      <c r="G55" s="97"/>
    </row>
    <row r="56" spans="2:8" x14ac:dyDescent="0.2">
      <c r="B56" s="134" t="s">
        <v>270</v>
      </c>
      <c r="C56" s="41" t="s">
        <v>287</v>
      </c>
      <c r="D56" s="41" t="s">
        <v>252</v>
      </c>
      <c r="E56" s="35"/>
      <c r="F56" s="35"/>
      <c r="G56" s="97"/>
    </row>
    <row r="57" spans="2:8" x14ac:dyDescent="0.2">
      <c r="B57" s="134" t="s">
        <v>271</v>
      </c>
      <c r="C57" s="41" t="s">
        <v>308</v>
      </c>
      <c r="D57" s="370" t="s">
        <v>310</v>
      </c>
      <c r="E57" s="35"/>
      <c r="F57" s="35"/>
      <c r="G57" s="97"/>
    </row>
    <row r="58" spans="2:8" x14ac:dyDescent="0.2">
      <c r="B58" s="134" t="s">
        <v>272</v>
      </c>
      <c r="C58" s="41" t="s">
        <v>309</v>
      </c>
      <c r="D58" s="370" t="s">
        <v>310</v>
      </c>
      <c r="E58" s="35"/>
      <c r="F58" s="35"/>
      <c r="G58" s="97"/>
    </row>
    <row r="59" spans="2:8" x14ac:dyDescent="0.2">
      <c r="B59" s="134" t="s">
        <v>273</v>
      </c>
      <c r="C59" s="41" t="s">
        <v>295</v>
      </c>
      <c r="D59" s="35" t="s">
        <v>29</v>
      </c>
      <c r="E59" s="35" t="s">
        <v>30</v>
      </c>
      <c r="F59" s="35" t="s">
        <v>31</v>
      </c>
      <c r="G59" s="97" t="s">
        <v>32</v>
      </c>
    </row>
    <row r="60" spans="2:8" x14ac:dyDescent="0.2">
      <c r="B60" s="134" t="s">
        <v>274</v>
      </c>
      <c r="C60" s="41" t="s">
        <v>313</v>
      </c>
      <c r="D60" s="35" t="s">
        <v>314</v>
      </c>
      <c r="E60" s="35"/>
      <c r="F60" s="35"/>
      <c r="G60" s="97"/>
    </row>
    <row r="61" spans="2:8" x14ac:dyDescent="0.2">
      <c r="B61" s="134" t="s">
        <v>275</v>
      </c>
      <c r="C61" s="41" t="s">
        <v>288</v>
      </c>
      <c r="D61" s="35" t="s">
        <v>276</v>
      </c>
      <c r="E61" s="35"/>
      <c r="F61" s="35"/>
      <c r="G61" s="97"/>
      <c r="H61" s="3"/>
    </row>
    <row r="62" spans="2:8" x14ac:dyDescent="0.2">
      <c r="B62" s="134" t="s">
        <v>298</v>
      </c>
      <c r="C62" s="41" t="s">
        <v>311</v>
      </c>
      <c r="D62" s="41" t="s">
        <v>257</v>
      </c>
      <c r="E62" s="35"/>
      <c r="F62" s="35"/>
      <c r="G62" s="97"/>
    </row>
    <row r="63" spans="2:8" x14ac:dyDescent="0.2">
      <c r="B63" s="134" t="s">
        <v>277</v>
      </c>
      <c r="C63" s="41" t="s">
        <v>289</v>
      </c>
      <c r="D63" s="41" t="s">
        <v>253</v>
      </c>
      <c r="E63" s="35"/>
      <c r="F63" s="35"/>
      <c r="G63" s="97"/>
    </row>
    <row r="64" spans="2:8" x14ac:dyDescent="0.2">
      <c r="B64" s="136" t="s">
        <v>380</v>
      </c>
      <c r="C64" s="41"/>
      <c r="D64" s="41"/>
      <c r="E64" s="41"/>
      <c r="F64" s="41"/>
      <c r="G64" s="97"/>
    </row>
    <row r="65" spans="2:9" x14ac:dyDescent="0.2">
      <c r="B65" s="137" t="s">
        <v>326</v>
      </c>
      <c r="C65" s="41" t="s">
        <v>326</v>
      </c>
      <c r="D65" s="372" t="s">
        <v>249</v>
      </c>
      <c r="E65" s="41" t="s">
        <v>323</v>
      </c>
      <c r="F65" s="41" t="s">
        <v>324</v>
      </c>
      <c r="G65" s="135"/>
      <c r="H65" s="4"/>
      <c r="I65" s="4"/>
    </row>
    <row r="66" spans="2:9" x14ac:dyDescent="0.2">
      <c r="B66" s="137" t="s">
        <v>280</v>
      </c>
      <c r="C66" s="41" t="s">
        <v>280</v>
      </c>
      <c r="D66" s="41" t="s">
        <v>250</v>
      </c>
      <c r="E66" s="41" t="s">
        <v>335</v>
      </c>
      <c r="F66" s="41" t="s">
        <v>337</v>
      </c>
      <c r="G66" s="135"/>
      <c r="H66" s="4"/>
      <c r="I66" s="4"/>
    </row>
    <row r="67" spans="2:9" x14ac:dyDescent="0.2">
      <c r="B67" s="137" t="s">
        <v>296</v>
      </c>
      <c r="C67" s="41" t="s">
        <v>279</v>
      </c>
      <c r="D67" s="41" t="s">
        <v>297</v>
      </c>
      <c r="E67" s="41" t="s">
        <v>28</v>
      </c>
      <c r="F67" s="41"/>
      <c r="G67" s="135"/>
      <c r="H67" s="4"/>
      <c r="I67" s="4"/>
    </row>
    <row r="68" spans="2:9" x14ac:dyDescent="0.2">
      <c r="B68" s="136" t="s">
        <v>384</v>
      </c>
      <c r="C68" s="41"/>
      <c r="D68" s="41"/>
      <c r="E68" s="41"/>
      <c r="F68" s="41"/>
      <c r="G68" s="135"/>
      <c r="H68" s="4"/>
      <c r="I68" s="4"/>
    </row>
    <row r="69" spans="2:9" ht="13.5" thickBot="1" x14ac:dyDescent="0.25">
      <c r="B69" s="138" t="s">
        <v>281</v>
      </c>
      <c r="C69" s="113" t="s">
        <v>306</v>
      </c>
      <c r="D69" s="113" t="s">
        <v>282</v>
      </c>
      <c r="E69" s="113"/>
      <c r="F69" s="113"/>
      <c r="G69" s="139"/>
      <c r="H69" s="4"/>
      <c r="I69" s="4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4"/>
  <sheetViews>
    <sheetView zoomScale="80" zoomScaleNormal="80" workbookViewId="0">
      <selection activeCell="J10" sqref="J10"/>
    </sheetView>
  </sheetViews>
  <sheetFormatPr defaultRowHeight="12.75" x14ac:dyDescent="0.2"/>
  <cols>
    <col min="1" max="1" width="3.5703125" customWidth="1"/>
    <col min="2" max="2" width="11.42578125" bestFit="1" customWidth="1"/>
    <col min="3" max="3" width="19.140625" bestFit="1" customWidth="1"/>
    <col min="4" max="4" width="25" customWidth="1"/>
    <col min="5" max="5" width="18.7109375" bestFit="1" customWidth="1"/>
    <col min="6" max="6" width="7.7109375" bestFit="1" customWidth="1"/>
    <col min="7" max="7" width="13.85546875" bestFit="1" customWidth="1"/>
    <col min="9" max="9" width="10.28515625" bestFit="1" customWidth="1"/>
  </cols>
  <sheetData>
    <row r="1" spans="2:12" x14ac:dyDescent="0.2">
      <c r="B1" s="26" t="s">
        <v>540</v>
      </c>
      <c r="D1" s="6"/>
      <c r="E1" s="6"/>
      <c r="F1" s="6"/>
      <c r="G1" s="6"/>
      <c r="H1" s="6"/>
      <c r="K1" s="25" t="s">
        <v>238</v>
      </c>
    </row>
    <row r="2" spans="2:12" ht="13.5" thickBot="1" x14ac:dyDescent="0.25">
      <c r="C2" s="26"/>
      <c r="D2" s="6"/>
      <c r="E2" s="6"/>
      <c r="F2" s="6"/>
      <c r="G2" s="6"/>
      <c r="H2" s="6"/>
      <c r="K2" t="s">
        <v>364</v>
      </c>
      <c r="L2" s="32" t="s">
        <v>365</v>
      </c>
    </row>
    <row r="3" spans="2:12" x14ac:dyDescent="0.2">
      <c r="B3" s="65" t="s">
        <v>238</v>
      </c>
      <c r="C3" s="108" t="s">
        <v>333</v>
      </c>
      <c r="D3" s="108" t="s">
        <v>334</v>
      </c>
      <c r="E3" s="108" t="s">
        <v>363</v>
      </c>
      <c r="F3" s="108" t="s">
        <v>243</v>
      </c>
      <c r="G3" s="109" t="s">
        <v>244</v>
      </c>
      <c r="K3" t="s">
        <v>355</v>
      </c>
      <c r="L3" t="s">
        <v>354</v>
      </c>
    </row>
    <row r="4" spans="2:12" x14ac:dyDescent="0.2">
      <c r="B4" s="102" t="s">
        <v>360</v>
      </c>
      <c r="C4" s="35" t="s">
        <v>222</v>
      </c>
      <c r="D4" s="35" t="s">
        <v>223</v>
      </c>
      <c r="E4" s="35">
        <v>225</v>
      </c>
      <c r="F4" s="52" t="s">
        <v>175</v>
      </c>
      <c r="G4" s="97">
        <f t="shared" ref="G4:G24" si="0">E4/$E$25</f>
        <v>0.75848747484349888</v>
      </c>
      <c r="K4" t="s">
        <v>357</v>
      </c>
      <c r="L4" t="s">
        <v>358</v>
      </c>
    </row>
    <row r="5" spans="2:12" x14ac:dyDescent="0.2">
      <c r="B5" s="102" t="s">
        <v>360</v>
      </c>
      <c r="C5" s="35" t="s">
        <v>232</v>
      </c>
      <c r="D5" s="35" t="s">
        <v>233</v>
      </c>
      <c r="E5" s="376">
        <f>9-2*E20-4*E21</f>
        <v>7.7399999999999993</v>
      </c>
      <c r="F5" s="52" t="s">
        <v>180</v>
      </c>
      <c r="G5" s="135">
        <f>E5/$E$25+E6/$E$25</f>
        <v>5.643146812835631E-2</v>
      </c>
      <c r="H5" s="290" t="s">
        <v>613</v>
      </c>
      <c r="K5" s="19" t="s">
        <v>460</v>
      </c>
      <c r="L5" s="19" t="s">
        <v>461</v>
      </c>
    </row>
    <row r="6" spans="2:12" x14ac:dyDescent="0.2">
      <c r="B6" s="102" t="s">
        <v>360</v>
      </c>
      <c r="C6" s="35"/>
      <c r="D6" s="35"/>
      <c r="E6" s="41">
        <v>9</v>
      </c>
      <c r="F6" s="52" t="s">
        <v>181</v>
      </c>
      <c r="G6" s="135"/>
    </row>
    <row r="7" spans="2:12" ht="13.5" customHeight="1" x14ac:dyDescent="0.2">
      <c r="B7" s="102" t="s">
        <v>360</v>
      </c>
      <c r="C7" s="35" t="s">
        <v>230</v>
      </c>
      <c r="D7" s="35" t="s">
        <v>231</v>
      </c>
      <c r="E7" s="41">
        <v>10</v>
      </c>
      <c r="F7" s="52" t="s">
        <v>179</v>
      </c>
      <c r="G7" s="135">
        <f t="shared" si="0"/>
        <v>3.3710554437488834E-2</v>
      </c>
    </row>
    <row r="8" spans="2:12" x14ac:dyDescent="0.2">
      <c r="B8" s="102" t="s">
        <v>360</v>
      </c>
      <c r="C8" s="35" t="s">
        <v>228</v>
      </c>
      <c r="D8" s="35" t="s">
        <v>229</v>
      </c>
      <c r="E8" s="41">
        <v>6</v>
      </c>
      <c r="F8" s="52" t="s">
        <v>184</v>
      </c>
      <c r="G8" s="135">
        <f t="shared" si="0"/>
        <v>2.0226332662493303E-2</v>
      </c>
    </row>
    <row r="9" spans="2:12" x14ac:dyDescent="0.2">
      <c r="B9" s="102" t="s">
        <v>360</v>
      </c>
      <c r="C9" s="35" t="s">
        <v>226</v>
      </c>
      <c r="D9" s="35" t="s">
        <v>227</v>
      </c>
      <c r="E9" s="41">
        <v>6</v>
      </c>
      <c r="F9" s="52" t="s">
        <v>178</v>
      </c>
      <c r="G9" s="135">
        <f t="shared" si="0"/>
        <v>2.0226332662493303E-2</v>
      </c>
    </row>
    <row r="10" spans="2:12" x14ac:dyDescent="0.2">
      <c r="B10" s="102" t="s">
        <v>360</v>
      </c>
      <c r="C10" s="35" t="s">
        <v>224</v>
      </c>
      <c r="D10" s="35" t="s">
        <v>225</v>
      </c>
      <c r="E10" s="41">
        <v>5</v>
      </c>
      <c r="F10" s="52" t="s">
        <v>235</v>
      </c>
      <c r="G10" s="135">
        <f t="shared" si="0"/>
        <v>1.6855277218744417E-2</v>
      </c>
    </row>
    <row r="11" spans="2:12" ht="13.5" customHeight="1" x14ac:dyDescent="0.2">
      <c r="B11" s="102" t="s">
        <v>360</v>
      </c>
      <c r="C11" s="35" t="s">
        <v>234</v>
      </c>
      <c r="D11" s="35" t="s">
        <v>225</v>
      </c>
      <c r="E11" s="41">
        <v>5</v>
      </c>
      <c r="F11" s="52" t="s">
        <v>212</v>
      </c>
      <c r="G11" s="135">
        <f t="shared" si="0"/>
        <v>1.6855277218744417E-2</v>
      </c>
    </row>
    <row r="12" spans="2:12" x14ac:dyDescent="0.2">
      <c r="B12" s="134" t="s">
        <v>460</v>
      </c>
      <c r="C12" s="291" t="s">
        <v>462</v>
      </c>
      <c r="D12" s="293">
        <v>3.95E-2</v>
      </c>
      <c r="E12" s="376">
        <v>0.81699999999999995</v>
      </c>
      <c r="F12" s="52" t="s">
        <v>321</v>
      </c>
      <c r="G12" s="135">
        <f t="shared" si="0"/>
        <v>2.7541522975428378E-3</v>
      </c>
    </row>
    <row r="13" spans="2:12" ht="13.5" customHeight="1" x14ac:dyDescent="0.2">
      <c r="B13" s="134" t="s">
        <v>460</v>
      </c>
      <c r="C13" s="291" t="s">
        <v>463</v>
      </c>
      <c r="D13" s="293">
        <v>3.85E-2</v>
      </c>
      <c r="E13" s="376">
        <v>0.79700000000000004</v>
      </c>
      <c r="F13" s="52" t="s">
        <v>182</v>
      </c>
      <c r="G13" s="135">
        <f t="shared" si="0"/>
        <v>2.6867311886678603E-3</v>
      </c>
    </row>
    <row r="14" spans="2:12" x14ac:dyDescent="0.2">
      <c r="B14" s="134" t="s">
        <v>460</v>
      </c>
      <c r="C14" s="291" t="s">
        <v>464</v>
      </c>
      <c r="D14" s="293">
        <v>1.9E-2</v>
      </c>
      <c r="E14" s="376">
        <v>0.39300000000000002</v>
      </c>
      <c r="F14" s="292" t="s">
        <v>183</v>
      </c>
      <c r="G14" s="135">
        <f t="shared" si="0"/>
        <v>1.3248247893933114E-3</v>
      </c>
    </row>
    <row r="15" spans="2:12" x14ac:dyDescent="0.2">
      <c r="B15" s="134" t="s">
        <v>460</v>
      </c>
      <c r="C15" s="291" t="s">
        <v>467</v>
      </c>
      <c r="D15" s="293">
        <v>1.7999999999999999E-2</v>
      </c>
      <c r="E15" s="376">
        <v>0.372</v>
      </c>
      <c r="F15" s="292" t="s">
        <v>468</v>
      </c>
      <c r="G15" s="135">
        <f t="shared" si="0"/>
        <v>1.2540326250745847E-3</v>
      </c>
    </row>
    <row r="16" spans="2:12" ht="13.5" customHeight="1" x14ac:dyDescent="0.2">
      <c r="B16" s="134" t="s">
        <v>460</v>
      </c>
      <c r="C16" s="291" t="s">
        <v>465</v>
      </c>
      <c r="D16" s="293">
        <v>8.0000000000000002E-3</v>
      </c>
      <c r="E16" s="376">
        <v>8.0000000000000002E-3</v>
      </c>
      <c r="F16" s="292" t="s">
        <v>197</v>
      </c>
      <c r="G16" s="135">
        <f t="shared" si="0"/>
        <v>2.6968443549991071E-5</v>
      </c>
      <c r="H16" s="3" t="s">
        <v>472</v>
      </c>
    </row>
    <row r="17" spans="2:8" x14ac:dyDescent="0.2">
      <c r="B17" s="134" t="s">
        <v>460</v>
      </c>
      <c r="C17" s="291" t="s">
        <v>466</v>
      </c>
      <c r="D17" s="293">
        <v>1.4E-3</v>
      </c>
      <c r="E17" s="376">
        <v>2.9000000000000001E-2</v>
      </c>
      <c r="F17" s="52" t="s">
        <v>193</v>
      </c>
      <c r="G17" s="135">
        <f t="shared" si="0"/>
        <v>9.7760607868717627E-5</v>
      </c>
    </row>
    <row r="18" spans="2:8" ht="13.5" customHeight="1" x14ac:dyDescent="0.2">
      <c r="B18" s="102" t="s">
        <v>360</v>
      </c>
      <c r="C18" s="35"/>
      <c r="D18" s="35" t="s">
        <v>242</v>
      </c>
      <c r="E18" s="41">
        <v>15</v>
      </c>
      <c r="F18" s="52" t="s">
        <v>177</v>
      </c>
      <c r="G18" s="135">
        <f t="shared" si="0"/>
        <v>5.0565831656233254E-2</v>
      </c>
    </row>
    <row r="19" spans="2:8" x14ac:dyDescent="0.2">
      <c r="B19" s="102" t="s">
        <v>360</v>
      </c>
      <c r="C19" s="35"/>
      <c r="D19" s="35" t="s">
        <v>241</v>
      </c>
      <c r="E19" s="41">
        <v>5</v>
      </c>
      <c r="F19" s="52" t="s">
        <v>185</v>
      </c>
      <c r="G19" s="135">
        <f t="shared" si="0"/>
        <v>1.6855277218744417E-2</v>
      </c>
    </row>
    <row r="20" spans="2:8" x14ac:dyDescent="0.2">
      <c r="B20" s="288"/>
      <c r="C20" s="289" t="s">
        <v>431</v>
      </c>
      <c r="D20" s="289" t="s">
        <v>441</v>
      </c>
      <c r="E20" s="377">
        <v>0.03</v>
      </c>
      <c r="F20" s="378" t="s">
        <v>427</v>
      </c>
      <c r="G20" s="135">
        <f t="shared" si="0"/>
        <v>1.0113166331246651E-4</v>
      </c>
    </row>
    <row r="21" spans="2:8" x14ac:dyDescent="0.2">
      <c r="B21" s="288"/>
      <c r="C21" s="289" t="s">
        <v>432</v>
      </c>
      <c r="D21" s="289" t="s">
        <v>442</v>
      </c>
      <c r="E21" s="377">
        <v>0.3</v>
      </c>
      <c r="F21" s="378" t="s">
        <v>428</v>
      </c>
      <c r="G21" s="135">
        <f t="shared" si="0"/>
        <v>1.0113166331246651E-3</v>
      </c>
    </row>
    <row r="22" spans="2:8" x14ac:dyDescent="0.2">
      <c r="B22" s="288"/>
      <c r="C22" s="313" t="s">
        <v>477</v>
      </c>
      <c r="D22" s="312">
        <v>0.85</v>
      </c>
      <c r="E22" s="377">
        <v>0.14099999999999999</v>
      </c>
      <c r="F22" s="378" t="s">
        <v>456</v>
      </c>
      <c r="G22" s="135">
        <f t="shared" si="0"/>
        <v>4.7531881756859254E-4</v>
      </c>
    </row>
    <row r="23" spans="2:8" x14ac:dyDescent="0.2">
      <c r="B23" s="288"/>
      <c r="C23" s="313" t="s">
        <v>477</v>
      </c>
      <c r="D23" s="312">
        <v>0.05</v>
      </c>
      <c r="E23" s="377">
        <v>8.0000000000000002E-3</v>
      </c>
      <c r="F23" s="378" t="s">
        <v>458</v>
      </c>
      <c r="G23" s="135">
        <f t="shared" si="0"/>
        <v>2.6968443549991071E-5</v>
      </c>
    </row>
    <row r="24" spans="2:8" x14ac:dyDescent="0.2">
      <c r="B24" s="288"/>
      <c r="C24" s="313" t="s">
        <v>477</v>
      </c>
      <c r="D24" s="312">
        <v>0.05</v>
      </c>
      <c r="E24" s="377">
        <v>8.0000000000000002E-3</v>
      </c>
      <c r="F24" s="378" t="s">
        <v>459</v>
      </c>
      <c r="G24" s="135">
        <f t="shared" si="0"/>
        <v>2.6968443549991071E-5</v>
      </c>
    </row>
    <row r="25" spans="2:8" ht="13.5" thickBot="1" x14ac:dyDescent="0.25">
      <c r="B25" s="110"/>
      <c r="C25" s="111"/>
      <c r="D25" s="112" t="s">
        <v>262</v>
      </c>
      <c r="E25" s="111">
        <f>SUM(E4:E24)</f>
        <v>296.64299999999997</v>
      </c>
      <c r="F25" s="113"/>
      <c r="G25" s="114"/>
    </row>
    <row r="28" spans="2:8" ht="13.5" thickBot="1" x14ac:dyDescent="0.25"/>
    <row r="29" spans="2:8" ht="15" x14ac:dyDescent="0.25">
      <c r="B29" s="306" t="s">
        <v>482</v>
      </c>
      <c r="C29" s="302"/>
      <c r="D29" s="303"/>
      <c r="E29" s="303"/>
      <c r="F29" s="304"/>
    </row>
    <row r="30" spans="2:8" ht="15" x14ac:dyDescent="0.25">
      <c r="B30" s="294" t="s">
        <v>473</v>
      </c>
      <c r="C30" s="295" t="s">
        <v>474</v>
      </c>
      <c r="D30" s="37" t="s">
        <v>363</v>
      </c>
      <c r="E30" s="37" t="s">
        <v>443</v>
      </c>
      <c r="F30" s="97"/>
    </row>
    <row r="31" spans="2:8" ht="15" x14ac:dyDescent="0.25">
      <c r="B31" s="296" t="s">
        <v>190</v>
      </c>
      <c r="C31" s="297">
        <f>100-SUM(C32:C42)</f>
        <v>86.98</v>
      </c>
      <c r="D31" s="35">
        <v>18</v>
      </c>
      <c r="E31" s="291" t="s">
        <v>469</v>
      </c>
      <c r="F31" s="298" t="s">
        <v>457</v>
      </c>
      <c r="H31" s="3"/>
    </row>
    <row r="32" spans="2:8" ht="15" x14ac:dyDescent="0.25">
      <c r="B32" s="296" t="s">
        <v>322</v>
      </c>
      <c r="C32" s="297">
        <v>3.95</v>
      </c>
      <c r="D32" s="35">
        <f>C32*18/86.98</f>
        <v>0.81742929409059562</v>
      </c>
      <c r="E32" s="35"/>
      <c r="F32" s="97"/>
      <c r="H32" s="3"/>
    </row>
    <row r="33" spans="2:14" ht="15" x14ac:dyDescent="0.25">
      <c r="B33" s="296" t="s">
        <v>191</v>
      </c>
      <c r="C33" s="297">
        <v>3.85</v>
      </c>
      <c r="D33" s="35">
        <f>C33*18/86.98</f>
        <v>0.79673488158197281</v>
      </c>
      <c r="E33" s="35"/>
      <c r="F33" s="97"/>
    </row>
    <row r="34" spans="2:14" ht="15" x14ac:dyDescent="0.25">
      <c r="B34" s="296" t="s">
        <v>194</v>
      </c>
      <c r="C34" s="297">
        <v>1.9</v>
      </c>
      <c r="D34" s="35">
        <f t="shared" ref="D34" si="1">C34*18/86.98</f>
        <v>0.3931938376638307</v>
      </c>
      <c r="E34" s="35"/>
      <c r="F34" s="97"/>
    </row>
    <row r="35" spans="2:14" ht="15" x14ac:dyDescent="0.25">
      <c r="B35" s="296" t="s">
        <v>444</v>
      </c>
      <c r="C35" s="297">
        <v>1.8</v>
      </c>
      <c r="D35" s="35">
        <f>C35*18/86.98</f>
        <v>0.37249942515520806</v>
      </c>
      <c r="E35" s="35"/>
      <c r="F35" s="97"/>
    </row>
    <row r="36" spans="2:14" ht="15" x14ac:dyDescent="0.25">
      <c r="B36" s="296" t="s">
        <v>445</v>
      </c>
      <c r="C36" s="297">
        <v>0.8</v>
      </c>
      <c r="D36" s="35">
        <f>C36*18/86.98</f>
        <v>0.16555530006898136</v>
      </c>
      <c r="E36" s="35" t="s">
        <v>446</v>
      </c>
      <c r="F36" s="97"/>
    </row>
    <row r="37" spans="2:14" ht="15" x14ac:dyDescent="0.25">
      <c r="B37" s="299" t="s">
        <v>447</v>
      </c>
      <c r="C37" s="297">
        <v>0.4</v>
      </c>
      <c r="D37" s="35"/>
      <c r="E37" s="35"/>
      <c r="F37" s="97"/>
    </row>
    <row r="38" spans="2:14" ht="15" x14ac:dyDescent="0.25">
      <c r="B38" s="296" t="s">
        <v>192</v>
      </c>
      <c r="C38" s="297">
        <v>0.14000000000000001</v>
      </c>
      <c r="D38" s="35">
        <f>C38*18/86.98</f>
        <v>2.8972177512071744E-2</v>
      </c>
      <c r="E38" s="35"/>
      <c r="F38" s="97"/>
    </row>
    <row r="39" spans="2:14" ht="15" x14ac:dyDescent="0.25">
      <c r="B39" s="299" t="s">
        <v>448</v>
      </c>
      <c r="C39" s="297">
        <v>0.1</v>
      </c>
      <c r="D39" s="35"/>
      <c r="E39" s="35"/>
      <c r="F39" s="97"/>
    </row>
    <row r="40" spans="2:14" ht="15" x14ac:dyDescent="0.25">
      <c r="B40" s="299" t="s">
        <v>449</v>
      </c>
      <c r="C40" s="297">
        <v>0.04</v>
      </c>
      <c r="D40" s="35"/>
      <c r="E40" s="35"/>
      <c r="F40" s="97"/>
    </row>
    <row r="41" spans="2:14" ht="15" x14ac:dyDescent="0.25">
      <c r="B41" s="299" t="s">
        <v>450</v>
      </c>
      <c r="C41" s="297">
        <v>0.03</v>
      </c>
      <c r="D41" s="35"/>
      <c r="E41" s="35"/>
      <c r="F41" s="97"/>
    </row>
    <row r="42" spans="2:14" ht="15" x14ac:dyDescent="0.25">
      <c r="B42" s="299" t="s">
        <v>451</v>
      </c>
      <c r="C42" s="297">
        <v>0.01</v>
      </c>
      <c r="D42" s="35"/>
      <c r="E42" s="35"/>
      <c r="F42" s="135"/>
      <c r="G42" s="4"/>
      <c r="H42" s="4"/>
      <c r="I42" s="4"/>
      <c r="J42" s="4"/>
      <c r="K42" s="4"/>
      <c r="L42" s="4"/>
      <c r="M42" s="4"/>
      <c r="N42" s="4"/>
    </row>
    <row r="43" spans="2:14" ht="15" x14ac:dyDescent="0.25">
      <c r="B43" s="296" t="s">
        <v>186</v>
      </c>
      <c r="C43" s="291" t="s">
        <v>470</v>
      </c>
      <c r="D43" s="35"/>
      <c r="E43" s="35"/>
      <c r="F43" s="135"/>
      <c r="G43" s="4"/>
      <c r="H43" s="4"/>
      <c r="I43" s="4"/>
      <c r="J43" s="4"/>
      <c r="K43" s="4"/>
      <c r="L43" s="4"/>
      <c r="M43" s="4"/>
      <c r="N43" s="4"/>
    </row>
    <row r="44" spans="2:14" ht="15" x14ac:dyDescent="0.25">
      <c r="B44" s="296" t="s">
        <v>188</v>
      </c>
      <c r="C44" s="291" t="s">
        <v>470</v>
      </c>
      <c r="D44" s="35"/>
      <c r="E44" s="35"/>
      <c r="F44" s="135"/>
      <c r="G44" s="4"/>
      <c r="H44" s="4"/>
      <c r="I44" s="4"/>
      <c r="J44" s="4"/>
      <c r="K44" s="4"/>
      <c r="L44" s="4"/>
      <c r="M44" s="4"/>
      <c r="N44" s="4"/>
    </row>
    <row r="45" spans="2:14" ht="15" x14ac:dyDescent="0.25">
      <c r="B45" s="296" t="s">
        <v>195</v>
      </c>
      <c r="C45" s="291" t="s">
        <v>470</v>
      </c>
      <c r="D45" s="35"/>
      <c r="E45" s="35"/>
      <c r="F45" s="135"/>
      <c r="G45" s="4"/>
      <c r="H45" s="4"/>
      <c r="I45" s="4"/>
      <c r="J45" s="4"/>
      <c r="K45" s="4"/>
      <c r="L45" s="4"/>
      <c r="M45" s="4"/>
      <c r="N45" s="4"/>
    </row>
    <row r="46" spans="2:14" ht="15" x14ac:dyDescent="0.25">
      <c r="B46" s="296" t="s">
        <v>189</v>
      </c>
      <c r="C46" s="291" t="s">
        <v>470</v>
      </c>
      <c r="D46" s="35"/>
      <c r="E46" s="35"/>
      <c r="F46" s="135"/>
      <c r="G46" s="4"/>
      <c r="H46" s="4"/>
      <c r="I46" s="4"/>
      <c r="J46" s="4"/>
      <c r="K46" s="4"/>
      <c r="L46" s="4"/>
      <c r="M46" s="4"/>
      <c r="N46" s="4"/>
    </row>
    <row r="47" spans="2:14" ht="15" x14ac:dyDescent="0.25">
      <c r="B47" s="296" t="s">
        <v>452</v>
      </c>
      <c r="C47" s="291" t="s">
        <v>470</v>
      </c>
      <c r="D47" s="35"/>
      <c r="E47" s="35"/>
      <c r="F47" s="135"/>
      <c r="G47" s="4"/>
      <c r="H47" s="4"/>
      <c r="I47" s="4"/>
      <c r="J47" s="4"/>
      <c r="K47" s="4"/>
      <c r="L47" s="4"/>
      <c r="M47" s="4"/>
      <c r="N47" s="4"/>
    </row>
    <row r="48" spans="2:14" ht="15" x14ac:dyDescent="0.25">
      <c r="B48" s="296" t="s">
        <v>453</v>
      </c>
      <c r="C48" s="291" t="s">
        <v>470</v>
      </c>
      <c r="D48" s="35"/>
      <c r="E48" s="35"/>
      <c r="F48" s="135"/>
      <c r="G48" s="4"/>
      <c r="H48" s="4"/>
      <c r="I48" s="4"/>
      <c r="J48" s="4"/>
      <c r="K48" s="4"/>
      <c r="L48" s="4"/>
      <c r="M48" s="4"/>
      <c r="N48" s="4"/>
    </row>
    <row r="49" spans="2:14" ht="15" x14ac:dyDescent="0.25">
      <c r="B49" s="296" t="s">
        <v>454</v>
      </c>
      <c r="C49" s="291" t="s">
        <v>470</v>
      </c>
      <c r="D49" s="35"/>
      <c r="E49" s="35"/>
      <c r="F49" s="135"/>
      <c r="G49" s="4"/>
      <c r="H49" s="4"/>
      <c r="I49" s="4"/>
      <c r="J49" s="4"/>
      <c r="K49" s="4"/>
      <c r="L49" s="4"/>
      <c r="M49" s="4"/>
      <c r="N49" s="4"/>
    </row>
    <row r="50" spans="2:14" ht="15.75" thickBot="1" x14ac:dyDescent="0.3">
      <c r="B50" s="300" t="s">
        <v>455</v>
      </c>
      <c r="C50" s="301" t="s">
        <v>470</v>
      </c>
      <c r="D50" s="111"/>
      <c r="E50" s="111"/>
      <c r="F50" s="139"/>
      <c r="G50" s="4"/>
      <c r="H50" s="4"/>
      <c r="I50" s="4"/>
      <c r="J50" s="4"/>
      <c r="K50" s="4"/>
      <c r="L50" s="4"/>
      <c r="M50" s="4"/>
      <c r="N50" s="4"/>
    </row>
    <row r="51" spans="2:14" ht="15" x14ac:dyDescent="0.25">
      <c r="B51" s="305" t="s">
        <v>478</v>
      </c>
      <c r="C51" s="314"/>
      <c r="D51" s="51"/>
      <c r="E51" s="51"/>
      <c r="F51" s="15"/>
      <c r="G51" s="4"/>
      <c r="H51" s="4"/>
      <c r="I51" s="4"/>
      <c r="J51" s="4"/>
      <c r="K51" s="4"/>
      <c r="L51" s="4"/>
      <c r="M51" s="4"/>
      <c r="N51" s="4"/>
    </row>
    <row r="52" spans="2:14" ht="13.5" thickBot="1" x14ac:dyDescent="0.25"/>
    <row r="53" spans="2:14" ht="15" x14ac:dyDescent="0.25">
      <c r="B53" s="307" t="s">
        <v>475</v>
      </c>
      <c r="C53" s="126"/>
      <c r="D53" s="126"/>
      <c r="E53" s="126"/>
      <c r="F53" s="75"/>
    </row>
    <row r="54" spans="2:14" x14ac:dyDescent="0.2">
      <c r="B54" s="59" t="s">
        <v>434</v>
      </c>
      <c r="C54" s="51" t="s">
        <v>433</v>
      </c>
      <c r="D54" s="51">
        <v>2350000</v>
      </c>
      <c r="E54" s="51"/>
      <c r="F54" s="76"/>
    </row>
    <row r="55" spans="2:14" x14ac:dyDescent="0.2">
      <c r="B55" s="59" t="s">
        <v>437</v>
      </c>
      <c r="C55" s="51" t="s">
        <v>435</v>
      </c>
      <c r="D55" s="51">
        <f>D54*0.05</f>
        <v>117500</v>
      </c>
      <c r="E55" s="51" t="s">
        <v>436</v>
      </c>
      <c r="F55" s="76"/>
    </row>
    <row r="56" spans="2:14" x14ac:dyDescent="0.2">
      <c r="B56" s="59"/>
      <c r="C56" s="51" t="s">
        <v>438</v>
      </c>
      <c r="D56" s="51">
        <f>D55*0.9</f>
        <v>105750</v>
      </c>
      <c r="E56" s="51">
        <f>D56/(6.022E+23)/(0.00000000000000067)*1000</f>
        <v>0.26209867302477979</v>
      </c>
      <c r="F56" s="76" t="s">
        <v>440</v>
      </c>
    </row>
    <row r="57" spans="2:14" ht="13.5" thickBot="1" x14ac:dyDescent="0.25">
      <c r="B57" s="70"/>
      <c r="C57" s="308" t="s">
        <v>439</v>
      </c>
      <c r="D57" s="308">
        <f>D55*0.1</f>
        <v>11750</v>
      </c>
      <c r="E57" s="308">
        <f>D57/(6.022E+23)/(0.00000000000000067)*1000</f>
        <v>2.9122074780531085E-2</v>
      </c>
      <c r="F57" s="107" t="s">
        <v>440</v>
      </c>
    </row>
    <row r="58" spans="2:14" ht="13.5" thickBot="1" x14ac:dyDescent="0.25"/>
    <row r="59" spans="2:14" x14ac:dyDescent="0.2">
      <c r="B59" s="72" t="s">
        <v>476</v>
      </c>
      <c r="C59" s="126"/>
      <c r="D59" s="126"/>
      <c r="E59" s="126"/>
      <c r="F59" s="75"/>
    </row>
    <row r="60" spans="2:14" ht="15" x14ac:dyDescent="0.25">
      <c r="B60" s="309" t="s">
        <v>471</v>
      </c>
      <c r="C60" s="51"/>
      <c r="D60" s="51"/>
      <c r="E60" s="51"/>
      <c r="F60" s="76"/>
    </row>
    <row r="61" spans="2:14" x14ac:dyDescent="0.2">
      <c r="B61" s="310" t="s">
        <v>456</v>
      </c>
      <c r="C61" s="51">
        <f>0.85*D36</f>
        <v>0.14072200505863416</v>
      </c>
      <c r="D61" s="51"/>
      <c r="E61" s="51"/>
      <c r="F61" s="76"/>
    </row>
    <row r="62" spans="2:14" ht="15" x14ac:dyDescent="0.25">
      <c r="B62" s="309" t="s">
        <v>458</v>
      </c>
      <c r="C62" s="51">
        <f>0.05*D36</f>
        <v>8.2777650034490686E-3</v>
      </c>
      <c r="D62" s="51"/>
      <c r="E62" s="51"/>
      <c r="F62" s="76"/>
    </row>
    <row r="63" spans="2:14" ht="15" x14ac:dyDescent="0.25">
      <c r="B63" s="309" t="s">
        <v>459</v>
      </c>
      <c r="C63" s="51">
        <f>0.05*$D$36</f>
        <v>8.2777650034490686E-3</v>
      </c>
      <c r="D63" s="51"/>
      <c r="E63" s="51"/>
      <c r="F63" s="76"/>
    </row>
    <row r="64" spans="2:14" ht="15.75" thickBot="1" x14ac:dyDescent="0.3">
      <c r="B64" s="311" t="s">
        <v>197</v>
      </c>
      <c r="C64" s="308">
        <f>0.05*$D$36</f>
        <v>8.2777650034490686E-3</v>
      </c>
      <c r="D64" s="308"/>
      <c r="E64" s="308"/>
      <c r="F64" s="107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workbookViewId="0"/>
  </sheetViews>
  <sheetFormatPr defaultRowHeight="12.75" x14ac:dyDescent="0.2"/>
  <cols>
    <col min="1" max="1" width="4.85546875" customWidth="1"/>
    <col min="2" max="2" width="25" customWidth="1"/>
    <col min="3" max="5" width="10" style="6" customWidth="1"/>
    <col min="6" max="6" width="29.42578125" style="6" customWidth="1"/>
    <col min="7" max="7" width="22.7109375" style="6" bestFit="1" customWidth="1"/>
    <col min="8" max="8" width="14.7109375" bestFit="1" customWidth="1"/>
    <col min="10" max="10" width="11.5703125" bestFit="1" customWidth="1"/>
    <col min="11" max="11" width="13.5703125" customWidth="1"/>
  </cols>
  <sheetData>
    <row r="1" spans="2:12" x14ac:dyDescent="0.2">
      <c r="B1" s="26" t="s">
        <v>542</v>
      </c>
      <c r="J1" s="26" t="s">
        <v>356</v>
      </c>
    </row>
    <row r="2" spans="2:12" ht="13.5" thickBot="1" x14ac:dyDescent="0.25">
      <c r="B2" s="26"/>
      <c r="J2" s="3" t="s">
        <v>408</v>
      </c>
      <c r="K2" s="32" t="s">
        <v>362</v>
      </c>
      <c r="L2" s="3" t="s">
        <v>114</v>
      </c>
    </row>
    <row r="3" spans="2:12" x14ac:dyDescent="0.2">
      <c r="B3" s="93" t="s">
        <v>366</v>
      </c>
      <c r="C3" s="94" t="s">
        <v>110</v>
      </c>
      <c r="D3" s="94" t="s">
        <v>111</v>
      </c>
      <c r="E3" s="94" t="s">
        <v>112</v>
      </c>
      <c r="F3" s="274" t="s">
        <v>356</v>
      </c>
      <c r="G3" s="94"/>
      <c r="H3" s="95"/>
      <c r="J3" s="3" t="s">
        <v>355</v>
      </c>
      <c r="K3" s="32" t="s">
        <v>409</v>
      </c>
      <c r="L3" s="32" t="s">
        <v>354</v>
      </c>
    </row>
    <row r="4" spans="2:12" x14ac:dyDescent="0.2">
      <c r="B4" s="96" t="s">
        <v>121</v>
      </c>
      <c r="C4" s="33">
        <v>0.5</v>
      </c>
      <c r="D4" s="33">
        <v>0.45</v>
      </c>
      <c r="E4" s="33">
        <v>0.05</v>
      </c>
      <c r="F4" s="33" t="s">
        <v>410</v>
      </c>
      <c r="G4" s="33"/>
      <c r="H4" s="97"/>
      <c r="J4" s="3" t="s">
        <v>411</v>
      </c>
      <c r="K4" s="32" t="s">
        <v>361</v>
      </c>
      <c r="L4" s="3" t="s">
        <v>113</v>
      </c>
    </row>
    <row r="5" spans="2:12" x14ac:dyDescent="0.2">
      <c r="B5" s="59"/>
      <c r="C5" s="54"/>
      <c r="D5" s="54"/>
      <c r="E5" s="54"/>
      <c r="F5" s="54"/>
      <c r="G5" s="98"/>
      <c r="H5" s="99"/>
    </row>
    <row r="6" spans="2:12" x14ac:dyDescent="0.2">
      <c r="B6" s="100" t="s">
        <v>122</v>
      </c>
      <c r="C6" s="33"/>
      <c r="D6" s="33"/>
      <c r="E6" s="33"/>
      <c r="F6" s="33"/>
      <c r="G6" s="34" t="s">
        <v>123</v>
      </c>
      <c r="H6" s="101" t="s">
        <v>367</v>
      </c>
      <c r="I6" s="3"/>
    </row>
    <row r="7" spans="2:12" x14ac:dyDescent="0.2">
      <c r="B7" s="102" t="s">
        <v>119</v>
      </c>
      <c r="C7" s="33">
        <v>0.8</v>
      </c>
      <c r="D7" s="33">
        <v>0</v>
      </c>
      <c r="E7" s="33">
        <v>0</v>
      </c>
      <c r="F7" s="33" t="s">
        <v>412</v>
      </c>
      <c r="G7" s="33">
        <f>C7*C4</f>
        <v>0.4</v>
      </c>
      <c r="H7" s="103" t="s">
        <v>127</v>
      </c>
    </row>
    <row r="8" spans="2:12" x14ac:dyDescent="0.2">
      <c r="B8" s="102" t="s">
        <v>120</v>
      </c>
      <c r="C8" s="33">
        <v>0.2</v>
      </c>
      <c r="D8" s="33">
        <v>0</v>
      </c>
      <c r="E8" s="33">
        <v>0</v>
      </c>
      <c r="F8" s="33" t="s">
        <v>412</v>
      </c>
      <c r="G8" s="33">
        <f>C8*C4</f>
        <v>0.1</v>
      </c>
      <c r="H8" s="103" t="s">
        <v>128</v>
      </c>
    </row>
    <row r="9" spans="2:12" x14ac:dyDescent="0.2">
      <c r="B9" s="102" t="s">
        <v>124</v>
      </c>
      <c r="C9" s="33">
        <v>0</v>
      </c>
      <c r="D9" s="33">
        <v>0.9</v>
      </c>
      <c r="E9" s="33">
        <v>0</v>
      </c>
      <c r="F9" s="33" t="s">
        <v>412</v>
      </c>
      <c r="G9" s="33">
        <f>D9*D4</f>
        <v>0.40500000000000003</v>
      </c>
      <c r="H9" s="103" t="s">
        <v>137</v>
      </c>
    </row>
    <row r="10" spans="2:12" x14ac:dyDescent="0.2">
      <c r="B10" s="102" t="s">
        <v>140</v>
      </c>
      <c r="C10" s="33">
        <v>0</v>
      </c>
      <c r="D10" s="33">
        <v>0.1</v>
      </c>
      <c r="E10" s="33">
        <v>0</v>
      </c>
      <c r="F10" s="33" t="s">
        <v>412</v>
      </c>
      <c r="G10" s="33">
        <f>D10*D4</f>
        <v>4.5000000000000005E-2</v>
      </c>
      <c r="H10" s="103" t="s">
        <v>138</v>
      </c>
      <c r="I10" s="3"/>
      <c r="J10" s="3"/>
    </row>
    <row r="11" spans="2:12" x14ac:dyDescent="0.2">
      <c r="B11" s="102" t="s">
        <v>125</v>
      </c>
      <c r="C11" s="33">
        <v>0</v>
      </c>
      <c r="D11" s="33">
        <v>0</v>
      </c>
      <c r="E11" s="33">
        <v>1</v>
      </c>
      <c r="F11" s="33" t="s">
        <v>411</v>
      </c>
      <c r="G11" s="33">
        <f>E11*E4</f>
        <v>0.05</v>
      </c>
      <c r="H11" s="103" t="s">
        <v>139</v>
      </c>
      <c r="I11" s="3"/>
      <c r="J11" s="3"/>
    </row>
    <row r="12" spans="2:12" x14ac:dyDescent="0.2">
      <c r="B12" s="59"/>
      <c r="C12" s="54"/>
      <c r="D12" s="54"/>
      <c r="E12" s="54"/>
      <c r="F12" s="54"/>
      <c r="G12" s="98"/>
      <c r="H12" s="99"/>
      <c r="I12" s="3"/>
      <c r="J12" s="3"/>
    </row>
    <row r="13" spans="2:12" x14ac:dyDescent="0.2">
      <c r="B13" s="104" t="s">
        <v>126</v>
      </c>
      <c r="C13" s="54"/>
      <c r="D13" s="54"/>
      <c r="E13" s="54"/>
      <c r="F13" s="54"/>
      <c r="G13" s="98"/>
      <c r="H13" s="99"/>
      <c r="I13" s="3"/>
      <c r="J13" s="3"/>
    </row>
    <row r="14" spans="2:12" x14ac:dyDescent="0.2">
      <c r="B14" s="105" t="s">
        <v>368</v>
      </c>
      <c r="C14" s="54"/>
      <c r="D14" s="54"/>
      <c r="E14" s="54"/>
      <c r="F14" s="54"/>
      <c r="G14" s="54"/>
      <c r="H14" s="76"/>
    </row>
    <row r="15" spans="2:12" x14ac:dyDescent="0.2">
      <c r="B15" s="105" t="s">
        <v>369</v>
      </c>
      <c r="C15" s="54"/>
      <c r="D15" s="54"/>
      <c r="E15" s="54"/>
      <c r="F15" s="54"/>
      <c r="G15" s="54"/>
      <c r="H15" s="76"/>
    </row>
    <row r="16" spans="2:12" ht="13.5" thickBot="1" x14ac:dyDescent="0.25">
      <c r="B16" s="106" t="s">
        <v>370</v>
      </c>
      <c r="C16" s="71"/>
      <c r="D16" s="71"/>
      <c r="E16" s="71"/>
      <c r="F16" s="71"/>
      <c r="G16" s="71"/>
      <c r="H16" s="107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zoomScale="80" zoomScaleNormal="80" workbookViewId="0">
      <selection activeCell="E49" sqref="E49"/>
    </sheetView>
  </sheetViews>
  <sheetFormatPr defaultRowHeight="12.75" x14ac:dyDescent="0.2"/>
  <cols>
    <col min="1" max="1" width="4.5703125" customWidth="1"/>
    <col min="2" max="2" width="26.140625" customWidth="1"/>
    <col min="3" max="3" width="22.5703125" style="6" customWidth="1"/>
    <col min="4" max="4" width="14.7109375" style="6" customWidth="1"/>
    <col min="5" max="5" width="16.7109375" style="6" customWidth="1"/>
    <col min="6" max="6" width="10.85546875" style="6" customWidth="1"/>
    <col min="7" max="7" width="14.85546875" style="6" bestFit="1" customWidth="1"/>
    <col min="8" max="8" width="17.140625" customWidth="1"/>
    <col min="9" max="9" width="15.28515625" customWidth="1"/>
    <col min="12" max="18" width="7" customWidth="1"/>
    <col min="20" max="22" width="7" customWidth="1"/>
  </cols>
  <sheetData>
    <row r="1" spans="1:24" x14ac:dyDescent="0.2">
      <c r="B1" s="26" t="s">
        <v>543</v>
      </c>
      <c r="K1" s="26" t="s">
        <v>356</v>
      </c>
    </row>
    <row r="2" spans="1:24" ht="13.5" thickBot="1" x14ac:dyDescent="0.25">
      <c r="G2"/>
      <c r="K2" s="44" t="s">
        <v>357</v>
      </c>
      <c r="L2" t="s">
        <v>358</v>
      </c>
    </row>
    <row r="3" spans="1:24" x14ac:dyDescent="0.2">
      <c r="B3" s="143" t="s">
        <v>388</v>
      </c>
      <c r="C3" s="144" t="s">
        <v>395</v>
      </c>
      <c r="D3" s="144" t="s">
        <v>396</v>
      </c>
      <c r="E3" s="145" t="s">
        <v>397</v>
      </c>
      <c r="F3" s="117" t="s">
        <v>356</v>
      </c>
      <c r="G3"/>
      <c r="K3" s="6" t="s">
        <v>355</v>
      </c>
      <c r="L3" s="3" t="s">
        <v>354</v>
      </c>
      <c r="P3" s="13"/>
      <c r="Q3" s="13"/>
      <c r="W3" s="13"/>
    </row>
    <row r="4" spans="1:24" x14ac:dyDescent="0.2">
      <c r="B4" s="96"/>
      <c r="C4" s="356">
        <v>0.75</v>
      </c>
      <c r="D4" s="356">
        <v>0.18</v>
      </c>
      <c r="E4" s="356">
        <v>0.05</v>
      </c>
      <c r="F4" s="146" t="s">
        <v>357</v>
      </c>
      <c r="L4" s="53" t="s">
        <v>393</v>
      </c>
      <c r="M4" s="14"/>
      <c r="P4" s="13"/>
      <c r="Q4" s="13"/>
      <c r="W4" s="13"/>
    </row>
    <row r="5" spans="1:24" ht="13.5" thickBot="1" x14ac:dyDescent="0.25">
      <c r="B5" s="61" t="s">
        <v>148</v>
      </c>
      <c r="C5" s="147">
        <v>0.76531000000000005</v>
      </c>
      <c r="D5" s="147">
        <v>0.18367</v>
      </c>
      <c r="E5" s="147">
        <v>5.1020000000000003E-2</v>
      </c>
      <c r="F5" s="64"/>
      <c r="L5" s="353" t="s">
        <v>520</v>
      </c>
      <c r="M5" t="s">
        <v>318</v>
      </c>
      <c r="P5" s="13"/>
      <c r="Q5" s="13"/>
      <c r="U5" s="13"/>
      <c r="W5" s="13"/>
    </row>
    <row r="6" spans="1:24" ht="13.5" thickBot="1" x14ac:dyDescent="0.25">
      <c r="C6" s="22"/>
      <c r="D6" s="22"/>
      <c r="E6" s="22"/>
      <c r="F6" s="10"/>
      <c r="G6" s="3"/>
      <c r="H6" s="3"/>
      <c r="I6" s="3"/>
      <c r="L6" s="11" t="s">
        <v>217</v>
      </c>
      <c r="P6" s="13"/>
      <c r="Q6" s="13"/>
      <c r="R6" s="12"/>
      <c r="S6" s="14"/>
      <c r="X6" s="1"/>
    </row>
    <row r="7" spans="1:24" x14ac:dyDescent="0.2">
      <c r="A7" s="9"/>
      <c r="B7" s="65" t="s">
        <v>149</v>
      </c>
      <c r="C7" s="66" t="s">
        <v>156</v>
      </c>
      <c r="D7" s="66" t="s">
        <v>156</v>
      </c>
      <c r="E7" s="66" t="s">
        <v>156</v>
      </c>
      <c r="F7" s="56"/>
      <c r="G7" s="67" t="s">
        <v>238</v>
      </c>
      <c r="H7" s="67" t="s">
        <v>389</v>
      </c>
      <c r="I7" s="68" t="s">
        <v>390</v>
      </c>
      <c r="L7" s="5" t="s">
        <v>319</v>
      </c>
      <c r="O7" s="13"/>
      <c r="P7" s="13"/>
      <c r="R7" s="14"/>
      <c r="W7" s="1"/>
    </row>
    <row r="8" spans="1:24" x14ac:dyDescent="0.2">
      <c r="A8" s="9"/>
      <c r="B8" s="354" t="s">
        <v>522</v>
      </c>
      <c r="C8" s="357">
        <f>ROUND($I8,4)</f>
        <v>0.11609999999999999</v>
      </c>
      <c r="D8" s="357">
        <f t="shared" ref="D8:E11" si="0">ROUND($I8,4)</f>
        <v>0.11609999999999999</v>
      </c>
      <c r="E8" s="357">
        <f t="shared" si="0"/>
        <v>0.11609999999999999</v>
      </c>
      <c r="F8" s="54"/>
      <c r="G8" s="355" t="s">
        <v>521</v>
      </c>
      <c r="H8" s="360">
        <f>0.0639+(0.0988/2)</f>
        <v>0.1133</v>
      </c>
      <c r="I8" s="364">
        <f>H8/$H$12</f>
        <v>0.1160503943460002</v>
      </c>
      <c r="O8" s="13"/>
      <c r="P8" s="13"/>
      <c r="R8" s="14"/>
      <c r="W8" s="1"/>
    </row>
    <row r="9" spans="1:24" x14ac:dyDescent="0.2">
      <c r="B9" s="69" t="s">
        <v>150</v>
      </c>
      <c r="C9" s="357">
        <f t="shared" ref="C9:C11" si="1">ROUND($I9,4)</f>
        <v>0.35039999999999999</v>
      </c>
      <c r="D9" s="357">
        <f t="shared" si="0"/>
        <v>0.35039999999999999</v>
      </c>
      <c r="E9" s="357">
        <f t="shared" si="0"/>
        <v>0.35039999999999999</v>
      </c>
      <c r="F9" s="54"/>
      <c r="G9" s="355" t="s">
        <v>523</v>
      </c>
      <c r="H9" s="360">
        <f>0.2927+(0.0988/2)</f>
        <v>0.34210000000000002</v>
      </c>
      <c r="I9" s="364">
        <f>H9/$H$12</f>
        <v>0.35040458875345692</v>
      </c>
      <c r="K9" s="358" t="s">
        <v>521</v>
      </c>
      <c r="L9" s="359" t="s">
        <v>526</v>
      </c>
      <c r="O9" s="13"/>
      <c r="P9" s="13"/>
      <c r="W9" s="1"/>
    </row>
    <row r="10" spans="1:24" x14ac:dyDescent="0.2">
      <c r="B10" s="69" t="s">
        <v>151</v>
      </c>
      <c r="C10" s="357">
        <f t="shared" si="1"/>
        <v>0.5131</v>
      </c>
      <c r="D10" s="357">
        <f t="shared" si="0"/>
        <v>0.5131</v>
      </c>
      <c r="E10" s="357">
        <f t="shared" si="0"/>
        <v>0.5131</v>
      </c>
      <c r="F10" s="54"/>
      <c r="G10" s="355" t="s">
        <v>524</v>
      </c>
      <c r="H10" s="361">
        <f>0.4844+0.0165</f>
        <v>0.50090000000000001</v>
      </c>
      <c r="I10" s="364">
        <f>H10/$H$12</f>
        <v>0.51305951039639452</v>
      </c>
      <c r="L10" s="3"/>
      <c r="O10" s="13"/>
      <c r="P10" s="13"/>
      <c r="Q10" s="12"/>
      <c r="R10" s="14"/>
      <c r="W10" s="1"/>
    </row>
    <row r="11" spans="1:24" x14ac:dyDescent="0.2">
      <c r="B11" s="69" t="s">
        <v>152</v>
      </c>
      <c r="C11" s="357">
        <f t="shared" si="1"/>
        <v>2.0500000000000001E-2</v>
      </c>
      <c r="D11" s="357">
        <f t="shared" si="0"/>
        <v>2.0500000000000001E-2</v>
      </c>
      <c r="E11" s="357">
        <f t="shared" si="0"/>
        <v>2.0500000000000001E-2</v>
      </c>
      <c r="F11" s="54"/>
      <c r="G11" s="355" t="s">
        <v>525</v>
      </c>
      <c r="H11" s="361">
        <v>0.02</v>
      </c>
      <c r="I11" s="364">
        <f>H11/$H$12</f>
        <v>2.0485506504148314E-2</v>
      </c>
      <c r="O11" s="13"/>
      <c r="P11" s="13"/>
      <c r="R11" s="14"/>
      <c r="W11" s="1"/>
    </row>
    <row r="12" spans="1:24" ht="13.5" thickBot="1" x14ac:dyDescent="0.25">
      <c r="B12" s="70"/>
      <c r="C12" s="71"/>
      <c r="D12" s="71"/>
      <c r="E12" s="71"/>
      <c r="F12" s="71"/>
      <c r="G12" s="63"/>
      <c r="H12" s="362">
        <f>SUM(H8:H11)</f>
        <v>0.97630000000000006</v>
      </c>
      <c r="I12" s="363"/>
      <c r="O12" s="13"/>
      <c r="P12" s="13"/>
      <c r="R12" s="14"/>
      <c r="W12" s="1"/>
    </row>
    <row r="13" spans="1:24" ht="13.5" thickBot="1" x14ac:dyDescent="0.25">
      <c r="G13"/>
      <c r="L13" s="14"/>
      <c r="P13" s="13"/>
      <c r="Q13" s="13"/>
      <c r="S13" s="14"/>
      <c r="X13" s="1"/>
    </row>
    <row r="14" spans="1:24" x14ac:dyDescent="0.2">
      <c r="B14" s="415" t="s">
        <v>392</v>
      </c>
      <c r="C14" s="416" t="s">
        <v>153</v>
      </c>
      <c r="D14" s="416" t="s">
        <v>154</v>
      </c>
      <c r="E14" s="416" t="s">
        <v>155</v>
      </c>
      <c r="F14" s="56"/>
      <c r="G14" s="57" t="s">
        <v>262</v>
      </c>
      <c r="L14" s="14"/>
      <c r="P14" s="13"/>
      <c r="Q14" s="13"/>
      <c r="S14" s="14"/>
      <c r="X14" s="1"/>
    </row>
    <row r="15" spans="1:24" x14ac:dyDescent="0.2">
      <c r="B15" s="417" t="s">
        <v>522</v>
      </c>
      <c r="C15" s="418">
        <f>C8*$C$5</f>
        <v>8.8852491000000006E-2</v>
      </c>
      <c r="D15" s="418">
        <f>D8*$D$5</f>
        <v>2.1324086999999999E-2</v>
      </c>
      <c r="E15" s="418">
        <f>E8*$E$5</f>
        <v>5.9234220000000002E-3</v>
      </c>
      <c r="F15" s="54"/>
      <c r="G15" s="58">
        <f>SUM(C15:E15)</f>
        <v>0.11609999999999999</v>
      </c>
      <c r="L15" s="14"/>
      <c r="P15" s="13"/>
      <c r="Q15" s="13"/>
      <c r="S15" s="14"/>
      <c r="X15" s="1"/>
    </row>
    <row r="16" spans="1:24" x14ac:dyDescent="0.2">
      <c r="B16" s="419" t="s">
        <v>150</v>
      </c>
      <c r="C16" s="418">
        <f>C9*$C$5</f>
        <v>0.26816462400000002</v>
      </c>
      <c r="D16" s="418">
        <f>D9*$D$5</f>
        <v>6.4357968000000002E-2</v>
      </c>
      <c r="E16" s="418">
        <f>E9*$E$5</f>
        <v>1.7877408000000001E-2</v>
      </c>
      <c r="F16" s="54"/>
      <c r="G16" s="58">
        <f>SUM(C16:E16)</f>
        <v>0.35039999999999999</v>
      </c>
      <c r="L16" s="14"/>
      <c r="P16" s="13"/>
      <c r="Q16" s="13"/>
      <c r="X16" s="1"/>
    </row>
    <row r="17" spans="2:24" x14ac:dyDescent="0.2">
      <c r="B17" s="419" t="s">
        <v>151</v>
      </c>
      <c r="C17" s="418">
        <f>C10*$C$5</f>
        <v>0.39268056100000004</v>
      </c>
      <c r="D17" s="418">
        <f>D10*$D$5</f>
        <v>9.4241077000000006E-2</v>
      </c>
      <c r="E17" s="418">
        <f>E10*$E$5</f>
        <v>2.6178362E-2</v>
      </c>
      <c r="F17" s="54"/>
      <c r="G17" s="58">
        <f>SUM(C17:E17)</f>
        <v>0.5131</v>
      </c>
      <c r="L17" s="14"/>
      <c r="P17" s="13"/>
      <c r="Q17" s="13"/>
      <c r="R17" s="12"/>
      <c r="S17" s="14"/>
      <c r="X17" s="1"/>
    </row>
    <row r="18" spans="2:24" x14ac:dyDescent="0.2">
      <c r="B18" s="419" t="s">
        <v>152</v>
      </c>
      <c r="C18" s="418">
        <f>C11*$C$5</f>
        <v>1.5688855000000002E-2</v>
      </c>
      <c r="D18" s="418">
        <f>D11*$D$5</f>
        <v>3.765235E-3</v>
      </c>
      <c r="E18" s="418">
        <f>E11*$E$5</f>
        <v>1.0459100000000002E-3</v>
      </c>
      <c r="F18" s="54"/>
      <c r="G18" s="58">
        <f>SUM(C18:E18)</f>
        <v>2.0500000000000001E-2</v>
      </c>
      <c r="L18" s="12"/>
      <c r="P18" s="13"/>
      <c r="Q18" s="13"/>
      <c r="S18" s="14"/>
      <c r="X18" s="1"/>
    </row>
    <row r="19" spans="2:24" x14ac:dyDescent="0.2">
      <c r="B19" s="59"/>
      <c r="C19" s="54"/>
      <c r="D19" s="54"/>
      <c r="E19" s="54"/>
      <c r="F19" s="54"/>
      <c r="G19" s="60"/>
      <c r="L19" s="12"/>
      <c r="P19" s="13"/>
      <c r="Q19" s="13"/>
      <c r="X19" s="1"/>
    </row>
    <row r="20" spans="2:24" ht="13.5" thickBot="1" x14ac:dyDescent="0.25">
      <c r="B20" s="61" t="s">
        <v>391</v>
      </c>
      <c r="C20" s="62">
        <f>SUM(C15:C18)</f>
        <v>0.76538653100000009</v>
      </c>
      <c r="D20" s="62">
        <f t="shared" ref="D20:E20" si="2">SUM(D15:D18)</f>
        <v>0.18368836700000002</v>
      </c>
      <c r="E20" s="62">
        <f t="shared" si="2"/>
        <v>5.1025102000000003E-2</v>
      </c>
      <c r="F20" s="63"/>
      <c r="G20" s="64"/>
      <c r="R20" s="12"/>
      <c r="S20" s="14"/>
      <c r="X20" s="1"/>
    </row>
    <row r="21" spans="2:24" x14ac:dyDescent="0.2">
      <c r="S21" s="14"/>
      <c r="X21" s="1"/>
    </row>
    <row r="22" spans="2:24" ht="13.5" thickBot="1" x14ac:dyDescent="0.25"/>
    <row r="23" spans="2:24" x14ac:dyDescent="0.2">
      <c r="B23" s="74" t="s">
        <v>320</v>
      </c>
      <c r="C23" s="56"/>
      <c r="D23" s="56"/>
      <c r="E23" s="56"/>
      <c r="F23" s="56"/>
      <c r="G23" s="56"/>
      <c r="H23" s="75"/>
    </row>
    <row r="24" spans="2:24" x14ac:dyDescent="0.2">
      <c r="B24" s="59"/>
      <c r="C24" s="54" t="s">
        <v>153</v>
      </c>
      <c r="D24" s="54" t="s">
        <v>154</v>
      </c>
      <c r="E24" s="54" t="s">
        <v>155</v>
      </c>
      <c r="F24" s="54"/>
      <c r="G24" s="54"/>
      <c r="H24" s="76"/>
    </row>
    <row r="25" spans="2:24" x14ac:dyDescent="0.2">
      <c r="B25" s="77" t="s">
        <v>208</v>
      </c>
      <c r="C25" s="78">
        <f>E30/E35</f>
        <v>0.27999999999999997</v>
      </c>
      <c r="D25" s="78">
        <f>F30/F35</f>
        <v>0.53846153846153855</v>
      </c>
      <c r="E25" s="78">
        <v>0</v>
      </c>
      <c r="F25" s="54"/>
      <c r="G25" s="54"/>
      <c r="H25" s="76"/>
    </row>
    <row r="26" spans="2:24" x14ac:dyDescent="0.2">
      <c r="B26" s="77" t="s">
        <v>209</v>
      </c>
      <c r="C26" s="78">
        <f>(E31+E32)/E35</f>
        <v>0.72</v>
      </c>
      <c r="D26" s="78">
        <f>F31/F35</f>
        <v>0.46153846153846156</v>
      </c>
      <c r="E26" s="78">
        <f>G31/G35</f>
        <v>1</v>
      </c>
      <c r="F26" s="51"/>
      <c r="G26" s="51"/>
      <c r="H26" s="76"/>
    </row>
    <row r="27" spans="2:24" x14ac:dyDescent="0.2">
      <c r="B27" s="59"/>
      <c r="C27" s="51"/>
      <c r="D27" s="51"/>
      <c r="E27" s="51"/>
      <c r="F27" s="51"/>
      <c r="G27" s="51"/>
      <c r="H27" s="76"/>
    </row>
    <row r="28" spans="2:24" x14ac:dyDescent="0.2">
      <c r="B28" s="79"/>
      <c r="C28" s="54"/>
      <c r="D28" s="54"/>
      <c r="E28" s="80" t="s">
        <v>398</v>
      </c>
      <c r="F28" s="54"/>
      <c r="G28" s="81"/>
      <c r="H28" s="76"/>
    </row>
    <row r="29" spans="2:24" x14ac:dyDescent="0.2">
      <c r="B29" s="82" t="s">
        <v>394</v>
      </c>
      <c r="C29" s="83" t="s">
        <v>218</v>
      </c>
      <c r="D29" s="83" t="s">
        <v>219</v>
      </c>
      <c r="E29" s="83" t="s">
        <v>153</v>
      </c>
      <c r="F29" s="83" t="s">
        <v>154</v>
      </c>
      <c r="G29" s="83" t="s">
        <v>155</v>
      </c>
      <c r="H29" s="84" t="s">
        <v>218</v>
      </c>
      <c r="K29" s="6"/>
    </row>
    <row r="30" spans="2:24" x14ac:dyDescent="0.2">
      <c r="B30" s="85" t="s">
        <v>213</v>
      </c>
      <c r="C30" s="86">
        <v>0.35</v>
      </c>
      <c r="D30" s="54">
        <v>0</v>
      </c>
      <c r="E30" s="54">
        <v>0.17499999999999999</v>
      </c>
      <c r="F30" s="54">
        <v>0.17499999999999999</v>
      </c>
      <c r="G30" s="54">
        <v>0</v>
      </c>
      <c r="H30" s="87">
        <f>SUM(E30:G30)</f>
        <v>0.35</v>
      </c>
    </row>
    <row r="31" spans="2:24" x14ac:dyDescent="0.2">
      <c r="B31" s="85" t="s">
        <v>214</v>
      </c>
      <c r="C31" s="86">
        <v>0.35</v>
      </c>
      <c r="D31" s="54">
        <v>0</v>
      </c>
      <c r="E31" s="54">
        <v>0.15</v>
      </c>
      <c r="F31" s="54">
        <v>0.15</v>
      </c>
      <c r="G31" s="54">
        <v>0.05</v>
      </c>
      <c r="H31" s="87">
        <f>SUM(E31:G31)</f>
        <v>0.35</v>
      </c>
    </row>
    <row r="32" spans="2:24" x14ac:dyDescent="0.2">
      <c r="B32" s="85" t="s">
        <v>215</v>
      </c>
      <c r="C32" s="89">
        <v>0.3</v>
      </c>
      <c r="D32" s="54">
        <v>0</v>
      </c>
      <c r="E32" s="90">
        <v>0.3</v>
      </c>
      <c r="F32" s="54">
        <v>0</v>
      </c>
      <c r="G32" s="54">
        <v>0</v>
      </c>
      <c r="H32" s="87">
        <f>SUM(E32:G32)</f>
        <v>0.3</v>
      </c>
    </row>
    <row r="33" spans="2:8" x14ac:dyDescent="0.2">
      <c r="B33" s="85" t="s">
        <v>216</v>
      </c>
      <c r="C33" s="83">
        <v>0</v>
      </c>
      <c r="D33" s="54">
        <v>1</v>
      </c>
      <c r="E33" s="54">
        <v>0</v>
      </c>
      <c r="F33" s="54">
        <v>0</v>
      </c>
      <c r="G33" s="54">
        <v>0</v>
      </c>
      <c r="H33" s="87">
        <f>SUM(E33:G33)</f>
        <v>0</v>
      </c>
    </row>
    <row r="34" spans="2:8" x14ac:dyDescent="0.2">
      <c r="B34" s="79"/>
      <c r="C34" s="54"/>
      <c r="D34" s="54"/>
      <c r="E34" s="54"/>
      <c r="F34" s="54"/>
      <c r="G34" s="51"/>
      <c r="H34" s="76"/>
    </row>
    <row r="35" spans="2:8" ht="13.5" thickBot="1" x14ac:dyDescent="0.25">
      <c r="B35" s="91" t="s">
        <v>262</v>
      </c>
      <c r="C35" s="71">
        <f>SUM(C30:C34)</f>
        <v>1</v>
      </c>
      <c r="D35" s="71">
        <f>SUM(D30:D34)</f>
        <v>1</v>
      </c>
      <c r="E35" s="71">
        <f>SUM(E30:E34)</f>
        <v>0.625</v>
      </c>
      <c r="F35" s="71">
        <f>SUM(F30:F34)</f>
        <v>0.32499999999999996</v>
      </c>
      <c r="G35" s="71">
        <f>SUM(G30:G34)</f>
        <v>0.05</v>
      </c>
      <c r="H35" s="92">
        <f>SUM(E35:G35)</f>
        <v>1</v>
      </c>
    </row>
    <row r="42" spans="2:8" x14ac:dyDescent="0.2">
      <c r="D42"/>
      <c r="E42"/>
      <c r="F42"/>
      <c r="G42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7"/>
  <sheetViews>
    <sheetView workbookViewId="0">
      <selection activeCell="D31" sqref="D31"/>
    </sheetView>
  </sheetViews>
  <sheetFormatPr defaultRowHeight="12.75" x14ac:dyDescent="0.2"/>
  <cols>
    <col min="1" max="1" width="4.28515625" customWidth="1"/>
    <col min="3" max="3" width="11.7109375" bestFit="1" customWidth="1"/>
    <col min="4" max="5" width="19.7109375" bestFit="1" customWidth="1"/>
  </cols>
  <sheetData>
    <row r="1" spans="2:4" x14ac:dyDescent="0.2">
      <c r="B1" s="26" t="s">
        <v>532</v>
      </c>
    </row>
    <row r="4" spans="2:4" x14ac:dyDescent="0.2">
      <c r="D4" t="s">
        <v>483</v>
      </c>
    </row>
    <row r="5" spans="2:4" x14ac:dyDescent="0.2">
      <c r="B5" t="s">
        <v>484</v>
      </c>
      <c r="C5">
        <v>3997420</v>
      </c>
      <c r="D5" s="322">
        <v>0.59489999999999998</v>
      </c>
    </row>
    <row r="6" spans="2:4" x14ac:dyDescent="0.2">
      <c r="B6" t="s">
        <v>485</v>
      </c>
      <c r="C6">
        <v>13762</v>
      </c>
      <c r="D6" s="322">
        <v>0.52</v>
      </c>
    </row>
    <row r="7" spans="2:4" x14ac:dyDescent="0.2">
      <c r="B7" t="s">
        <v>262</v>
      </c>
      <c r="C7">
        <f>C5+C6</f>
        <v>4011182</v>
      </c>
      <c r="D7">
        <f>((D5*C5)+(C6*D6))/C7</f>
        <v>0.59464302492382548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</vt:i4>
      </vt:variant>
    </vt:vector>
  </HeadingPairs>
  <TitlesOfParts>
    <vt:vector size="15" baseType="lpstr">
      <vt:lpstr>READ ME</vt:lpstr>
      <vt:lpstr>biomass_WT</vt:lpstr>
      <vt:lpstr>biomass_core</vt:lpstr>
      <vt:lpstr>maintenance</vt:lpstr>
      <vt:lpstr>soluble_pool</vt:lpstr>
      <vt:lpstr>ion</vt:lpstr>
      <vt:lpstr>murein</vt:lpstr>
      <vt:lpstr>lipids</vt:lpstr>
      <vt:lpstr>DNA</vt:lpstr>
      <vt:lpstr>macromolecular</vt:lpstr>
      <vt:lpstr>BOF_lists</vt:lpstr>
      <vt:lpstr>functional_testing</vt:lpstr>
      <vt:lpstr>biomass_core!Print_Area</vt:lpstr>
      <vt:lpstr>biomass_WT!Print_Area</vt:lpstr>
      <vt:lpstr>macromolecular!Print_Area</vt:lpstr>
    </vt:vector>
  </TitlesOfParts>
  <Company>UCSD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Feist</dc:creator>
  <cp:lastModifiedBy>Adam M. Feist</cp:lastModifiedBy>
  <cp:lastPrinted>2011-04-12T16:01:16Z</cp:lastPrinted>
  <dcterms:created xsi:type="dcterms:W3CDTF">2005-08-18T00:31:23Z</dcterms:created>
  <dcterms:modified xsi:type="dcterms:W3CDTF">2013-09-13T17:49:36Z</dcterms:modified>
</cp:coreProperties>
</file>