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880" yWindow="0" windowWidth="11670" windowHeight="8145"/>
  </bookViews>
  <sheets>
    <sheet name="Normal characteristics" sheetId="1" r:id="rId1"/>
    <sheet name="Nuchal cord incidence" sheetId="6" r:id="rId2"/>
    <sheet name="US accuracy" sheetId="16" r:id="rId3"/>
    <sheet name="Nuchal cord outcomes" sheetId="7" r:id="rId4"/>
    <sheet name="Abnormal characteristics" sheetId="2" r:id="rId5"/>
    <sheet name="Frequency of adverse outcomes" sheetId="3" r:id="rId6"/>
    <sheet name="True knot outcomes" sheetId="8" r:id="rId7"/>
    <sheet name="Coiling" sheetId="9" r:id="rId8"/>
  </sheets>
  <calcPr calcId="145621" concurrentCalc="0"/>
</workbook>
</file>

<file path=xl/calcChain.xml><?xml version="1.0" encoding="utf-8"?>
<calcChain xmlns="http://schemas.openxmlformats.org/spreadsheetml/2006/main">
  <c r="Y33" i="1" l="1"/>
  <c r="AA16" i="1"/>
  <c r="AA17" i="1"/>
  <c r="AA18" i="1"/>
  <c r="AA19" i="1"/>
  <c r="AA20" i="1"/>
  <c r="AA21" i="1"/>
  <c r="AA23" i="1"/>
  <c r="AA24" i="1"/>
  <c r="AA25" i="1"/>
  <c r="AA26" i="1"/>
  <c r="Z16" i="1"/>
  <c r="Z17" i="1"/>
  <c r="Z18" i="1"/>
  <c r="Z19" i="1"/>
  <c r="Z20" i="1"/>
  <c r="Z21" i="1"/>
  <c r="Z23" i="1"/>
  <c r="Z24" i="1"/>
  <c r="Z25" i="1"/>
  <c r="Z26" i="1"/>
  <c r="G6" i="1"/>
  <c r="F6" i="1"/>
  <c r="J283" i="9"/>
  <c r="J265" i="9"/>
  <c r="L283" i="9"/>
  <c r="K19" i="9"/>
  <c r="K86" i="9"/>
  <c r="K30" i="9"/>
  <c r="K205" i="9"/>
  <c r="K190" i="9"/>
  <c r="K172" i="9"/>
  <c r="K159" i="9"/>
  <c r="J15" i="7"/>
  <c r="J6" i="7"/>
  <c r="J18" i="7"/>
  <c r="H21" i="7"/>
  <c r="J29" i="7"/>
  <c r="J37" i="7"/>
  <c r="V88" i="6"/>
  <c r="J66" i="6"/>
  <c r="J65" i="6"/>
  <c r="N19" i="6"/>
  <c r="AF66" i="6"/>
  <c r="AE67" i="6"/>
  <c r="AE70" i="6"/>
  <c r="L268" i="9"/>
  <c r="L286" i="9"/>
  <c r="L287" i="9"/>
  <c r="AA4" i="1"/>
  <c r="AA5" i="1"/>
  <c r="AA6" i="1"/>
  <c r="AA7" i="1"/>
  <c r="AA8" i="1"/>
  <c r="AA9" i="1"/>
  <c r="AA10" i="1"/>
  <c r="AA11" i="1"/>
  <c r="AA12" i="1"/>
  <c r="AA13" i="1"/>
  <c r="AA14" i="1"/>
  <c r="Z4" i="1"/>
  <c r="Z5" i="1"/>
  <c r="Z6" i="1"/>
  <c r="Z7" i="1"/>
  <c r="Z8" i="1"/>
  <c r="Z9" i="1"/>
  <c r="Z10" i="1"/>
  <c r="Z11" i="1"/>
  <c r="Z12" i="1"/>
  <c r="Z13" i="1"/>
  <c r="Z14" i="1"/>
  <c r="K64" i="9"/>
  <c r="Z124" i="9"/>
  <c r="Z147" i="9"/>
  <c r="AA3" i="1"/>
  <c r="Z3" i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D3" i="1"/>
  <c r="G3" i="1"/>
  <c r="F4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C3" i="1"/>
  <c r="F3" i="1"/>
  <c r="D55" i="1"/>
  <c r="G55" i="1"/>
  <c r="G56" i="1"/>
  <c r="G57" i="1"/>
  <c r="G58" i="1"/>
  <c r="G59" i="1"/>
  <c r="G60" i="1"/>
  <c r="G61" i="1"/>
  <c r="G62" i="1"/>
  <c r="G63" i="1"/>
  <c r="G64" i="1"/>
  <c r="G65" i="1"/>
  <c r="G66" i="1"/>
  <c r="C55" i="1"/>
  <c r="F55" i="1"/>
  <c r="F56" i="1"/>
  <c r="F57" i="1"/>
  <c r="F58" i="1"/>
  <c r="F59" i="1"/>
  <c r="F60" i="1"/>
  <c r="F61" i="1"/>
  <c r="F62" i="1"/>
  <c r="F63" i="1"/>
  <c r="F64" i="1"/>
  <c r="F65" i="1"/>
  <c r="F66" i="1"/>
  <c r="W7" i="9"/>
  <c r="W6" i="9"/>
  <c r="I5" i="8"/>
  <c r="P51" i="1"/>
  <c r="E132" i="2"/>
  <c r="F132" i="2"/>
  <c r="K115" i="9"/>
  <c r="K128" i="9"/>
  <c r="K167" i="9"/>
  <c r="AE49" i="6"/>
  <c r="AE66" i="6"/>
  <c r="F51" i="6"/>
  <c r="F56" i="6"/>
  <c r="J85" i="7"/>
  <c r="J91" i="7"/>
  <c r="J94" i="7"/>
  <c r="H96" i="7"/>
  <c r="I96" i="7"/>
  <c r="J96" i="7"/>
  <c r="H98" i="7"/>
  <c r="J98" i="7"/>
  <c r="H100" i="7"/>
  <c r="J100" i="7"/>
  <c r="I103" i="7"/>
  <c r="J103" i="7"/>
  <c r="H106" i="7"/>
  <c r="I106" i="7"/>
  <c r="J106" i="7"/>
  <c r="J111" i="7"/>
  <c r="H119" i="7"/>
  <c r="I119" i="7"/>
  <c r="J119" i="7"/>
  <c r="H84" i="7"/>
  <c r="J84" i="7"/>
  <c r="J238" i="7"/>
  <c r="J65" i="7"/>
  <c r="J76" i="7"/>
  <c r="E32" i="6"/>
  <c r="I312" i="7"/>
  <c r="H311" i="7"/>
  <c r="J311" i="7"/>
  <c r="J299" i="7"/>
  <c r="I297" i="7"/>
  <c r="J226" i="7"/>
  <c r="J250" i="7"/>
  <c r="H256" i="7"/>
  <c r="J256" i="7"/>
  <c r="G259" i="7"/>
  <c r="H259" i="7"/>
  <c r="I259" i="7"/>
  <c r="J259" i="7"/>
  <c r="H265" i="7"/>
  <c r="I265" i="7"/>
  <c r="J265" i="7"/>
  <c r="J269" i="7"/>
  <c r="J240" i="7"/>
  <c r="J251" i="7"/>
  <c r="J252" i="7"/>
  <c r="H257" i="7"/>
  <c r="J257" i="7"/>
  <c r="H262" i="7"/>
  <c r="I262" i="7"/>
  <c r="J262" i="7"/>
  <c r="H266" i="7"/>
  <c r="I266" i="7"/>
  <c r="J266" i="7"/>
  <c r="J272" i="7"/>
  <c r="J177" i="7"/>
  <c r="J180" i="7"/>
  <c r="H184" i="7"/>
  <c r="J184" i="7"/>
  <c r="H185" i="7"/>
  <c r="I185" i="7"/>
  <c r="J185" i="7"/>
  <c r="J204" i="7"/>
  <c r="J199" i="7"/>
  <c r="J194" i="7"/>
  <c r="I197" i="7"/>
  <c r="I203" i="7"/>
  <c r="J203" i="7"/>
  <c r="H173" i="7"/>
  <c r="H172" i="7"/>
  <c r="J154" i="7"/>
  <c r="J156" i="7"/>
  <c r="J144" i="7"/>
  <c r="I152" i="7"/>
  <c r="J152" i="7"/>
  <c r="J153" i="7"/>
  <c r="J155" i="7"/>
  <c r="J120" i="7"/>
  <c r="J137" i="7"/>
  <c r="J3" i="7"/>
  <c r="H5" i="7"/>
  <c r="J22" i="7"/>
  <c r="F5" i="16"/>
  <c r="F8" i="16"/>
  <c r="C5" i="16"/>
  <c r="M35" i="6"/>
  <c r="L35" i="6"/>
  <c r="J35" i="7"/>
  <c r="J8" i="7"/>
  <c r="J9" i="7"/>
  <c r="H7" i="7"/>
  <c r="J325" i="7"/>
  <c r="J316" i="7"/>
  <c r="J319" i="7"/>
  <c r="J326" i="7"/>
  <c r="J328" i="7"/>
  <c r="G260" i="7"/>
  <c r="H261" i="7"/>
  <c r="H260" i="7"/>
  <c r="I260" i="7"/>
  <c r="J260" i="7"/>
  <c r="I261" i="7"/>
  <c r="J261" i="7"/>
  <c r="H263" i="7"/>
  <c r="J263" i="7"/>
  <c r="J264" i="7"/>
  <c r="J218" i="7"/>
  <c r="J219" i="7"/>
  <c r="J224" i="7"/>
  <c r="J225" i="7"/>
  <c r="J164" i="7"/>
  <c r="J169" i="7"/>
  <c r="J170" i="7"/>
  <c r="J175" i="7"/>
  <c r="J176" i="7"/>
  <c r="H178" i="7"/>
  <c r="I178" i="7"/>
  <c r="J178" i="7"/>
  <c r="I179" i="7"/>
  <c r="J179" i="7"/>
  <c r="J181" i="7"/>
  <c r="J182" i="7"/>
  <c r="H186" i="7"/>
  <c r="I186" i="7"/>
  <c r="J186" i="7"/>
  <c r="I187" i="7"/>
  <c r="J187" i="7"/>
  <c r="J7" i="7"/>
  <c r="J10" i="7"/>
  <c r="J11" i="7"/>
  <c r="J12" i="7"/>
  <c r="J13" i="7"/>
  <c r="J23" i="7"/>
  <c r="J25" i="7"/>
  <c r="J102" i="7"/>
  <c r="J101" i="7"/>
  <c r="I79" i="7"/>
  <c r="J79" i="7"/>
  <c r="I80" i="7"/>
  <c r="J80" i="7"/>
  <c r="J82" i="7"/>
  <c r="J83" i="7"/>
  <c r="H86" i="7"/>
  <c r="J86" i="7"/>
  <c r="J87" i="7"/>
  <c r="H89" i="7"/>
  <c r="J89" i="7"/>
  <c r="I90" i="7"/>
  <c r="J90" i="7"/>
  <c r="J92" i="7"/>
  <c r="J93" i="7"/>
  <c r="H97" i="7"/>
  <c r="J97" i="7"/>
  <c r="H99" i="7"/>
  <c r="J99" i="7"/>
  <c r="H104" i="7"/>
  <c r="I104" i="7"/>
  <c r="J104" i="7"/>
  <c r="I105" i="7"/>
  <c r="J105" i="7"/>
  <c r="H108" i="7"/>
  <c r="J108" i="7"/>
  <c r="J109" i="7"/>
  <c r="J112" i="7"/>
  <c r="J113" i="7"/>
  <c r="J114" i="7"/>
  <c r="J115" i="7"/>
  <c r="J116" i="7"/>
  <c r="J63" i="7"/>
  <c r="J64" i="7"/>
  <c r="H69" i="7"/>
  <c r="J69" i="7"/>
  <c r="J70" i="7"/>
  <c r="I71" i="7"/>
  <c r="J71" i="7"/>
  <c r="I72" i="7"/>
  <c r="J72" i="7"/>
  <c r="J74" i="7"/>
  <c r="J75" i="7"/>
  <c r="J253" i="7"/>
  <c r="J254" i="7"/>
  <c r="J241" i="7"/>
  <c r="J242" i="7"/>
  <c r="J244" i="7"/>
  <c r="J245" i="7"/>
  <c r="J247" i="7"/>
  <c r="J248" i="7"/>
  <c r="J236" i="7"/>
  <c r="J237" i="7"/>
  <c r="J233" i="7"/>
  <c r="J234" i="7"/>
  <c r="J229" i="7"/>
  <c r="J230" i="7"/>
  <c r="K92" i="9"/>
  <c r="K74" i="9"/>
  <c r="K130" i="9"/>
  <c r="K7" i="9"/>
  <c r="K61" i="9"/>
  <c r="I43" i="8"/>
  <c r="G33" i="8"/>
  <c r="H33" i="8"/>
  <c r="I40" i="8"/>
  <c r="H40" i="8"/>
  <c r="G40" i="8"/>
  <c r="I34" i="8"/>
  <c r="I47" i="8"/>
  <c r="I30" i="8"/>
  <c r="I42" i="8"/>
  <c r="I41" i="8"/>
  <c r="G30" i="8"/>
  <c r="I39" i="8"/>
  <c r="G39" i="8"/>
  <c r="H38" i="8"/>
  <c r="G38" i="8"/>
  <c r="W70" i="6"/>
  <c r="F96" i="2"/>
  <c r="F51" i="1"/>
  <c r="I33" i="8"/>
  <c r="F33" i="8"/>
  <c r="F102" i="2"/>
  <c r="G102" i="2"/>
  <c r="H40" i="3"/>
  <c r="H41" i="3"/>
  <c r="H42" i="3"/>
  <c r="H39" i="3"/>
  <c r="H38" i="3"/>
  <c r="F42" i="3"/>
  <c r="F41" i="3"/>
  <c r="F40" i="3"/>
  <c r="F39" i="3"/>
  <c r="F38" i="3"/>
  <c r="H37" i="3"/>
  <c r="H18" i="3"/>
  <c r="H17" i="3"/>
  <c r="H16" i="3"/>
  <c r="H15" i="3"/>
  <c r="F16" i="3"/>
  <c r="F15" i="3"/>
  <c r="F14" i="3"/>
  <c r="H14" i="3"/>
  <c r="H13" i="3"/>
  <c r="G13" i="3"/>
</calcChain>
</file>

<file path=xl/sharedStrings.xml><?xml version="1.0" encoding="utf-8"?>
<sst xmlns="http://schemas.openxmlformats.org/spreadsheetml/2006/main" count="4750" uniqueCount="470">
  <si>
    <t>Year</t>
  </si>
  <si>
    <t>Mean</t>
  </si>
  <si>
    <t>SD</t>
  </si>
  <si>
    <t xml:space="preserve">Total number </t>
  </si>
  <si>
    <t>Abnormal characteristics of umbilical cord</t>
  </si>
  <si>
    <t>Total number of cord abnormalities</t>
  </si>
  <si>
    <t>Total number of pregnancies</t>
  </si>
  <si>
    <t>Adverse outcome measured (and definition)</t>
  </si>
  <si>
    <t>Number of abnormalities in adverse outcome</t>
  </si>
  <si>
    <t>Number of adverse outcome measured</t>
  </si>
  <si>
    <t>First author</t>
  </si>
  <si>
    <t>Umbilical cord length</t>
  </si>
  <si>
    <t xml:space="preserve">NICU admission </t>
  </si>
  <si>
    <t>APGAR score &lt;7 at 1min</t>
  </si>
  <si>
    <t xml:space="preserve">instrumental delivery </t>
  </si>
  <si>
    <t>c/s rate</t>
  </si>
  <si>
    <t>IUFD</t>
  </si>
  <si>
    <t xml:space="preserve">prolapse </t>
  </si>
  <si>
    <t>IUGR</t>
  </si>
  <si>
    <t>Assimakopoulos</t>
  </si>
  <si>
    <t>Balkawade</t>
  </si>
  <si>
    <t>LSCS (lower segment CS)</t>
  </si>
  <si>
    <t xml:space="preserve">vaginal delivery </t>
  </si>
  <si>
    <t>NICU admission</t>
  </si>
  <si>
    <t>hypercoiled</t>
  </si>
  <si>
    <t xml:space="preserve">pre-term birth </t>
  </si>
  <si>
    <t xml:space="preserve">emergency caesarean </t>
  </si>
  <si>
    <t xml:space="preserve">caesarean deivery </t>
  </si>
  <si>
    <t>perinatal death preterm</t>
  </si>
  <si>
    <t>intrauterine death rerm</t>
  </si>
  <si>
    <t xml:space="preserve">NICU admission term </t>
  </si>
  <si>
    <t xml:space="preserve">NICU admission preterm </t>
  </si>
  <si>
    <t xml:space="preserve">5 min APGAR score &lt;7 term birth </t>
  </si>
  <si>
    <t xml:space="preserve">5 min APGAR score &lt;7 pre term birth </t>
  </si>
  <si>
    <t xml:space="preserve">cord entanglement </t>
  </si>
  <si>
    <t>SGA</t>
  </si>
  <si>
    <t>Adesina</t>
  </si>
  <si>
    <t>Agboola</t>
  </si>
  <si>
    <t>Begum</t>
  </si>
  <si>
    <t>Blickstein</t>
  </si>
  <si>
    <t>Chitra</t>
  </si>
  <si>
    <t>de Laat</t>
  </si>
  <si>
    <t>Degani</t>
  </si>
  <si>
    <t>el Behery</t>
  </si>
  <si>
    <t>Ghezzi</t>
  </si>
  <si>
    <t>Jaya</t>
  </si>
  <si>
    <t>Jessop</t>
  </si>
  <si>
    <t>Abnormality</t>
  </si>
  <si>
    <t>Definition</t>
  </si>
  <si>
    <t>Long cord</t>
  </si>
  <si>
    <t>True knot</t>
  </si>
  <si>
    <t>Kahana</t>
  </si>
  <si>
    <t>Coiling</t>
  </si>
  <si>
    <t>Hypocoiling</t>
  </si>
  <si>
    <t>Devaru</t>
  </si>
  <si>
    <t>Hypercoiling</t>
  </si>
  <si>
    <t xml:space="preserve">de Laat </t>
  </si>
  <si>
    <t>Nuchal cord</t>
  </si>
  <si>
    <t>Carey</t>
  </si>
  <si>
    <t>Adinma</t>
  </si>
  <si>
    <t>Bartling</t>
  </si>
  <si>
    <t>Bernad</t>
  </si>
  <si>
    <t>Clapp</t>
  </si>
  <si>
    <t>Ghosh</t>
  </si>
  <si>
    <t>Hashimoto</t>
  </si>
  <si>
    <t>Joshi</t>
  </si>
  <si>
    <t>Coiling index</t>
  </si>
  <si>
    <t>Entanglement</t>
  </si>
  <si>
    <t>Tight (cut before end of delivery)</t>
  </si>
  <si>
    <t>Loose (easily unlooped)</t>
  </si>
  <si>
    <t>Cord prolapse</t>
  </si>
  <si>
    <t>Dilbaz</t>
  </si>
  <si>
    <t>Enakpene</t>
  </si>
  <si>
    <t>Gibbons</t>
  </si>
  <si>
    <t>Hehir</t>
  </si>
  <si>
    <t>Henry</t>
  </si>
  <si>
    <t>Threshold</t>
  </si>
  <si>
    <t>Apgar &lt;7 5 min</t>
  </si>
  <si>
    <t>Apgar &lt;7 1 min</t>
  </si>
  <si>
    <t>CS</t>
  </si>
  <si>
    <t>&gt;80cm</t>
  </si>
  <si>
    <t>&gt;95cm</t>
  </si>
  <si>
    <t>&gt;45cm</t>
  </si>
  <si>
    <t>EmCS</t>
  </si>
  <si>
    <t>perinatal death term</t>
  </si>
  <si>
    <t xml:space="preserve">intrauterine death preterm </t>
  </si>
  <si>
    <t>total</t>
  </si>
  <si>
    <t>el behery</t>
  </si>
  <si>
    <t>x*n</t>
  </si>
  <si>
    <t>Notes</t>
  </si>
  <si>
    <t>Cord around trunk</t>
  </si>
  <si>
    <t>All</t>
  </si>
  <si>
    <t>Kong</t>
  </si>
  <si>
    <t>Linde</t>
  </si>
  <si>
    <t>&lt;10th centile</t>
  </si>
  <si>
    <t>&gt;90th centile</t>
  </si>
  <si>
    <t>BW&lt;10th centile</t>
  </si>
  <si>
    <t>PTB</t>
  </si>
  <si>
    <t>APGAR score &lt;7 at 5min</t>
  </si>
  <si>
    <t>Rana</t>
  </si>
  <si>
    <t>Lolis</t>
  </si>
  <si>
    <t>Pathak</t>
  </si>
  <si>
    <t>Nnatu</t>
  </si>
  <si>
    <t>Malpas</t>
  </si>
  <si>
    <t>Suzuki</t>
  </si>
  <si>
    <t>Wu</t>
  </si>
  <si>
    <t>Ohno</t>
  </si>
  <si>
    <t>Yamamoto</t>
  </si>
  <si>
    <t>Rogers</t>
  </si>
  <si>
    <t>Qin</t>
  </si>
  <si>
    <t>Walker</t>
  </si>
  <si>
    <t>van Dijk</t>
  </si>
  <si>
    <t>At birth</t>
  </si>
  <si>
    <t>Tapasvi</t>
  </si>
  <si>
    <t>McLennan</t>
  </si>
  <si>
    <t>Sornes</t>
  </si>
  <si>
    <t>Rayburn</t>
  </si>
  <si>
    <t>Stefos</t>
  </si>
  <si>
    <t>Para 1+2</t>
  </si>
  <si>
    <t>Para 3+</t>
  </si>
  <si>
    <t>Naeye</t>
  </si>
  <si>
    <t>Ndolo</t>
  </si>
  <si>
    <t xml:space="preserve">Mittal </t>
  </si>
  <si>
    <t>Bindu</t>
  </si>
  <si>
    <t>Strong</t>
  </si>
  <si>
    <t>SD*n</t>
  </si>
  <si>
    <t>Sinnathuray</t>
  </si>
  <si>
    <t>Mastrobattista</t>
  </si>
  <si>
    <t>Tantbirojn</t>
  </si>
  <si>
    <t>Osak</t>
  </si>
  <si>
    <t>Sheiner</t>
  </si>
  <si>
    <t>Singh</t>
  </si>
  <si>
    <t>Schaffer</t>
  </si>
  <si>
    <t>Ogueh</t>
  </si>
  <si>
    <t>Miser</t>
  </si>
  <si>
    <t>Weiner</t>
  </si>
  <si>
    <t>Peregrine</t>
  </si>
  <si>
    <t>Single loop</t>
  </si>
  <si>
    <t>2+ loops</t>
  </si>
  <si>
    <t>Olaya</t>
  </si>
  <si>
    <t>Stanek</t>
  </si>
  <si>
    <t>Raisanen</t>
  </si>
  <si>
    <t>Any knot</t>
  </si>
  <si>
    <t>1 knot</t>
  </si>
  <si>
    <t>2 knots</t>
  </si>
  <si>
    <t>Lehtonen</t>
  </si>
  <si>
    <t>Winch</t>
  </si>
  <si>
    <t>Uygur</t>
  </si>
  <si>
    <t xml:space="preserve">Olaya </t>
  </si>
  <si>
    <t>&lt;10th percentile</t>
  </si>
  <si>
    <t>Predanic</t>
  </si>
  <si>
    <t>Antenatal</t>
  </si>
  <si>
    <t xml:space="preserve">Strong </t>
  </si>
  <si>
    <t>Peng</t>
  </si>
  <si>
    <t>Cord around limb</t>
  </si>
  <si>
    <t>Single</t>
  </si>
  <si>
    <t>Multiple</t>
  </si>
  <si>
    <t xml:space="preserve">Stillbirth </t>
  </si>
  <si>
    <t>Primary C-section</t>
  </si>
  <si>
    <t>Repeat C-section</t>
  </si>
  <si>
    <t>Birthweight &lt;2500g</t>
  </si>
  <si>
    <t>Yadav</t>
  </si>
  <si>
    <t>Preterm delivery (&lt;37 wks)</t>
  </si>
  <si>
    <t>Low birth weight (&lt;2500g)</t>
  </si>
  <si>
    <t>Stillbirth</t>
  </si>
  <si>
    <t>num</t>
  </si>
  <si>
    <t>denom</t>
  </si>
  <si>
    <t xml:space="preserve">num </t>
  </si>
  <si>
    <t>Type</t>
  </si>
  <si>
    <t>Time</t>
  </si>
  <si>
    <t>caseevents</t>
  </si>
  <si>
    <t>casenonevents</t>
  </si>
  <si>
    <t>controlevents</t>
  </si>
  <si>
    <t>controlnonevents</t>
  </si>
  <si>
    <t>outcome</t>
  </si>
  <si>
    <t xml:space="preserve">Kesrouani </t>
  </si>
  <si>
    <t>Mode of delivery</t>
  </si>
  <si>
    <t>Ins</t>
  </si>
  <si>
    <t>hypocoiling</t>
  </si>
  <si>
    <t>hypercoiling</t>
  </si>
  <si>
    <t xml:space="preserve">Ins </t>
  </si>
  <si>
    <t>n</t>
  </si>
  <si>
    <t>Kashanian</t>
  </si>
  <si>
    <t>Gabbay-Benziv</t>
  </si>
  <si>
    <t>Akkaya</t>
  </si>
  <si>
    <t>not defined</t>
  </si>
  <si>
    <t>Measured using</t>
  </si>
  <si>
    <t>not stated</t>
  </si>
  <si>
    <t>Measured by</t>
  </si>
  <si>
    <t>Limb or trunk only</t>
  </si>
  <si>
    <t>Neck and limb or trunk</t>
  </si>
  <si>
    <t>all</t>
  </si>
  <si>
    <t>Neck alone</t>
  </si>
  <si>
    <t>pH&lt;7.0</t>
  </si>
  <si>
    <t>Measured</t>
  </si>
  <si>
    <t>Author</t>
  </si>
  <si>
    <t>Airas</t>
  </si>
  <si>
    <t>Algreisi</t>
  </si>
  <si>
    <t>Balsak</t>
  </si>
  <si>
    <t>Behbehani</t>
  </si>
  <si>
    <t>Brant</t>
  </si>
  <si>
    <t>Shiva Kumar</t>
  </si>
  <si>
    <t>Caspi</t>
  </si>
  <si>
    <t>Chaurasia</t>
  </si>
  <si>
    <t>Collins</t>
  </si>
  <si>
    <t>D'Antona</t>
  </si>
  <si>
    <t>Dhar</t>
  </si>
  <si>
    <t>Ercal</t>
  </si>
  <si>
    <t>Ezimokhai</t>
  </si>
  <si>
    <t>Hershkovitz</t>
  </si>
  <si>
    <t>Jauniaux</t>
  </si>
  <si>
    <t>LaMonica</t>
  </si>
  <si>
    <t>Larson</t>
  </si>
  <si>
    <t>Lipitz</t>
  </si>
  <si>
    <t>Machin</t>
  </si>
  <si>
    <t>Markov</t>
  </si>
  <si>
    <t>Olaya-C</t>
  </si>
  <si>
    <t>Poljak</t>
  </si>
  <si>
    <t>Purola</t>
  </si>
  <si>
    <t>Salge</t>
  </si>
  <si>
    <t>Shrestha</t>
  </si>
  <si>
    <t xml:space="preserve"> </t>
  </si>
  <si>
    <t>Tamrakar</t>
  </si>
  <si>
    <t>Usta</t>
  </si>
  <si>
    <t>Vintzileos</t>
  </si>
  <si>
    <t>Wang</t>
  </si>
  <si>
    <t>Abdallah</t>
  </si>
  <si>
    <t>Gupta</t>
  </si>
  <si>
    <t>Guzikowski</t>
  </si>
  <si>
    <t>Narang</t>
  </si>
  <si>
    <t>Nwakbong</t>
  </si>
  <si>
    <t>Zahoor</t>
  </si>
  <si>
    <t>Aibar</t>
  </si>
  <si>
    <t>Aksoy</t>
  </si>
  <si>
    <t>Alnakash</t>
  </si>
  <si>
    <t>Hanaoka</t>
  </si>
  <si>
    <t>Onderoglu</t>
  </si>
  <si>
    <t>At delivery</t>
  </si>
  <si>
    <t>at delivery</t>
  </si>
  <si>
    <t>NC</t>
  </si>
  <si>
    <t>Bohiltea</t>
  </si>
  <si>
    <t>Tripathy</t>
  </si>
  <si>
    <t>SB</t>
  </si>
  <si>
    <t>PTD</t>
  </si>
  <si>
    <t>BW &lt;2500g</t>
  </si>
  <si>
    <t>Loose</t>
  </si>
  <si>
    <t>Tight</t>
  </si>
  <si>
    <t>delivery of a portion of the cord prior to delivery of the infant</t>
  </si>
  <si>
    <t>unclear</t>
  </si>
  <si>
    <t>Quality assessment</t>
  </si>
  <si>
    <t>ReCoDe 'constricting loop or knot'</t>
  </si>
  <si>
    <t>from table 1</t>
  </si>
  <si>
    <t>from table 3</t>
  </si>
  <si>
    <t>Hand or body</t>
  </si>
  <si>
    <t>All (at least one loop)</t>
  </si>
  <si>
    <t>Aviram</t>
  </si>
  <si>
    <t>Cord tangles in fetal body parts</t>
  </si>
  <si>
    <t>Ultrasound</t>
  </si>
  <si>
    <t>CSFD</t>
  </si>
  <si>
    <t>Around neck</t>
  </si>
  <si>
    <t>De Laat</t>
  </si>
  <si>
    <t>PTD &lt;37w</t>
  </si>
  <si>
    <t>FGR</t>
  </si>
  <si>
    <t>Apgar score &lt;7 at 5 min</t>
  </si>
  <si>
    <t>Apgar score &lt;7 at 1 min</t>
  </si>
  <si>
    <t>&gt;74cm</t>
  </si>
  <si>
    <t>&lt;38cm</t>
  </si>
  <si>
    <t>NND</t>
  </si>
  <si>
    <t>BW&lt;2500g</t>
  </si>
  <si>
    <t>&gt;60cm</t>
  </si>
  <si>
    <t>&lt;50cm</t>
  </si>
  <si>
    <t>Apgar &lt;7 at 1 min</t>
  </si>
  <si>
    <t>unknown</t>
  </si>
  <si>
    <t>Apgar &lt;7 at 5 min</t>
  </si>
  <si>
    <t>10th centile, &lt;43cm</t>
  </si>
  <si>
    <t>Fair</t>
  </si>
  <si>
    <t>3/4 sides of neck</t>
  </si>
  <si>
    <t>CASE EVENTS</t>
  </si>
  <si>
    <t>CASE NON EVENTS</t>
  </si>
  <si>
    <t>CONTROL EVENTS</t>
  </si>
  <si>
    <t>CONTROL NON EVENTS</t>
  </si>
  <si>
    <t>Postnatal</t>
  </si>
  <si>
    <t>type of entanglement not specified</t>
  </si>
  <si>
    <t>NICU</t>
  </si>
  <si>
    <t>no NC</t>
  </si>
  <si>
    <t>LsCS for FD</t>
  </si>
  <si>
    <t>cord around neck</t>
  </si>
  <si>
    <t>Ertuğrul</t>
  </si>
  <si>
    <t>BW&lt;1500g</t>
  </si>
  <si>
    <t xml:space="preserve">At delivery </t>
  </si>
  <si>
    <t>Bjoro</t>
  </si>
  <si>
    <t>LBW</t>
  </si>
  <si>
    <t>10cm of fetal end of cord left with newborn</t>
  </si>
  <si>
    <t>Gonzalez-Quintero</t>
  </si>
  <si>
    <t>CS for FHR</t>
  </si>
  <si>
    <t>cord 2+ times around neck</t>
  </si>
  <si>
    <t>Apgar &lt;7 at 1  min</t>
  </si>
  <si>
    <t>short cord</t>
  </si>
  <si>
    <t>&lt;45cm</t>
  </si>
  <si>
    <t>Antenatal US</t>
  </si>
  <si>
    <t>not given - authors emailed</t>
  </si>
  <si>
    <t>these are totals - need to be converted</t>
  </si>
  <si>
    <t>any body part</t>
  </si>
  <si>
    <t>Para 1</t>
  </si>
  <si>
    <t>para 2</t>
  </si>
  <si>
    <t>para 3</t>
  </si>
  <si>
    <t>TP</t>
  </si>
  <si>
    <t>FP</t>
  </si>
  <si>
    <t>FN</t>
  </si>
  <si>
    <t>TN</t>
  </si>
  <si>
    <t>if we use total measurements then 50/84 US and 31/84 at delivery but can we know which of these were detected?</t>
  </si>
  <si>
    <t>Gonzalez- Quintero</t>
  </si>
  <si>
    <t>2D</t>
  </si>
  <si>
    <t>3D</t>
  </si>
  <si>
    <t>colour doppler</t>
  </si>
  <si>
    <t>Kumar</t>
  </si>
  <si>
    <t xml:space="preserve">Singh </t>
  </si>
  <si>
    <t>Unknown</t>
  </si>
  <si>
    <t>2+</t>
  </si>
  <si>
    <t>3+</t>
  </si>
  <si>
    <t>Measurement</t>
  </si>
  <si>
    <t>Antepartum</t>
  </si>
  <si>
    <t>Fetal loss</t>
  </si>
  <si>
    <t>5 min</t>
  </si>
  <si>
    <t>1 min</t>
  </si>
  <si>
    <t>Apgar &lt;7</t>
  </si>
  <si>
    <t>Before admission</t>
  </si>
  <si>
    <t>Intrapartum</t>
  </si>
  <si>
    <t>Vintzileios</t>
  </si>
  <si>
    <t xml:space="preserve">SGA  </t>
  </si>
  <si>
    <t>NUCHAL CORD</t>
  </si>
  <si>
    <t>Gestation</t>
  </si>
  <si>
    <t>Active labour &gt;6cm</t>
  </si>
  <si>
    <t>Early labour</t>
  </si>
  <si>
    <t>24-41w</t>
  </si>
  <si>
    <t>37-39</t>
  </si>
  <si>
    <t>36-38w</t>
  </si>
  <si>
    <t>36-41w</t>
  </si>
  <si>
    <t>Prior to IoL</t>
  </si>
  <si>
    <t>second and third trimester</t>
  </si>
  <si>
    <t>Stillbirth &gt;28w</t>
  </si>
  <si>
    <t xml:space="preserve">Linde </t>
  </si>
  <si>
    <t>Perinatal stillbirth</t>
  </si>
  <si>
    <t>Sharma</t>
  </si>
  <si>
    <t>Apgar &lt;6 at 5 min</t>
  </si>
  <si>
    <t>Romero Gutierrez</t>
  </si>
  <si>
    <t>37-42w</t>
  </si>
  <si>
    <t>LSCS</t>
  </si>
  <si>
    <t>Mode of delivery for both types of coiling</t>
  </si>
  <si>
    <t>Apgar &lt;4 1 min</t>
  </si>
  <si>
    <t>ultrasound</t>
  </si>
  <si>
    <t>ElCS excluded</t>
  </si>
  <si>
    <t>Poor apgar score - 1min &lt;4; 5mins &lt;7</t>
  </si>
  <si>
    <t>Poor Apgar score - &lt;4 at 1 min, &lt;7 at 5 min</t>
  </si>
  <si>
    <t>Apgar &lt;4 at 1 min</t>
  </si>
  <si>
    <t>unclear - high incidence and was not part of inclusion criteria</t>
  </si>
  <si>
    <t>according to growth curve</t>
  </si>
  <si>
    <t>&lt;10th centile)</t>
  </si>
  <si>
    <t>standard curves</t>
  </si>
  <si>
    <t>Apgar &lt;6 5 min</t>
  </si>
  <si>
    <t>Nkwabong</t>
  </si>
  <si>
    <t>12</t>
  </si>
  <si>
    <t>Apgar &lt;6</t>
  </si>
  <si>
    <t>Loops</t>
  </si>
  <si>
    <t>Single and multiple loops for stillbirth</t>
  </si>
  <si>
    <t>One v none</t>
  </si>
  <si>
    <t>Multiple v none</t>
  </si>
  <si>
    <t>Multiple v all</t>
  </si>
  <si>
    <t>ULTRASOUND ONLY</t>
  </si>
  <si>
    <t>encirclement of fetal neck</t>
  </si>
  <si>
    <t>37-42</t>
  </si>
  <si>
    <t>2d ultrasounds</t>
  </si>
  <si>
    <t>Good</t>
  </si>
  <si>
    <t>definition</t>
  </si>
  <si>
    <t>&lt;2500g</t>
  </si>
  <si>
    <t>false knots may be included</t>
  </si>
  <si>
    <t>unclear how many had US</t>
  </si>
  <si>
    <t>all, no indications mentioned</t>
  </si>
  <si>
    <t>indications not stated</t>
  </si>
  <si>
    <t>NRFHR as only indication</t>
  </si>
  <si>
    <t>all, some indications for EmCS mentioned (FHR, cord prolapse, nuchal cord)</t>
  </si>
  <si>
    <t>&gt;90th</t>
  </si>
  <si>
    <t>IUFD and hypercoiling at &gt;0.3 UCI - hypocoiling excluded from controls</t>
  </si>
  <si>
    <t>37-39w</t>
  </si>
  <si>
    <t>Kobayashi</t>
  </si>
  <si>
    <t>Lal</t>
  </si>
  <si>
    <t>2D &amp; colour</t>
  </si>
  <si>
    <t>Labour 36-42w</t>
  </si>
  <si>
    <t>IUGR (not defined)</t>
  </si>
  <si>
    <t>SFD (-1SD)</t>
  </si>
  <si>
    <t>SGA  (not defined)</t>
  </si>
  <si>
    <t>IUGR/SGA (not defined)</t>
  </si>
  <si>
    <t>IUGR (&lt;10th centile)</t>
  </si>
  <si>
    <t>SGA (&lt;10th centile)</t>
  </si>
  <si>
    <t>limb/trunk entanglements only</t>
  </si>
  <si>
    <t>All (included nuchal)</t>
  </si>
  <si>
    <t>all limbs, trunks</t>
  </si>
  <si>
    <t>single loop pregnancies</t>
  </si>
  <si>
    <t>multiple loop pregnancies</t>
  </si>
  <si>
    <t>PTD with controls as normocoiling only</t>
  </si>
  <si>
    <t>strong 1994 for fetal deaths in noncoiled cords?</t>
  </si>
  <si>
    <t>40 to 41</t>
  </si>
  <si>
    <t>38 to 39</t>
  </si>
  <si>
    <t>36 to 37</t>
  </si>
  <si>
    <t>NC and control group combined; NC cords longer</t>
  </si>
  <si>
    <t>39 average</t>
  </si>
  <si>
    <t>10th centile given as 400, 90th as 690</t>
  </si>
  <si>
    <t>30 to 44</t>
  </si>
  <si>
    <t>cord length related to knots and prolapse</t>
  </si>
  <si>
    <t>after 37</t>
  </si>
  <si>
    <t>24-40</t>
  </si>
  <si>
    <t>case control for TN</t>
  </si>
  <si>
    <t>term</t>
  </si>
  <si>
    <t>cut 5cm from insertion</t>
  </si>
  <si>
    <t>after 28</t>
  </si>
  <si>
    <t>38-41</t>
  </si>
  <si>
    <t>after 24</t>
  </si>
  <si>
    <t>39.7 average</t>
  </si>
  <si>
    <t>single NC</t>
  </si>
  <si>
    <t>multiple NC</t>
  </si>
  <si>
    <t>normocoiled; abnormally coiled cords were longer but NS</t>
  </si>
  <si>
    <t>&gt;37</t>
  </si>
  <si>
    <t>&gt;28</t>
  </si>
  <si>
    <t>Boys</t>
  </si>
  <si>
    <t>Girls</t>
  </si>
  <si>
    <t>&gt;38</t>
  </si>
  <si>
    <t>Term</t>
  </si>
  <si>
    <t>Jo</t>
  </si>
  <si>
    <t>Patil</t>
  </si>
  <si>
    <t>Sahoo</t>
  </si>
  <si>
    <t>Gaikwad</t>
  </si>
  <si>
    <t>Chholak</t>
  </si>
  <si>
    <t>i</t>
  </si>
  <si>
    <t>postnatal</t>
  </si>
  <si>
    <t>Apgar with controls as normocoiling only</t>
  </si>
  <si>
    <t>controls are normocoiling only</t>
  </si>
  <si>
    <t>no SD</t>
  </si>
  <si>
    <t>mean</t>
  </si>
  <si>
    <t>sd</t>
  </si>
  <si>
    <t>sd*n</t>
  </si>
  <si>
    <t>jessop</t>
  </si>
  <si>
    <t>jo</t>
  </si>
  <si>
    <t>ndolo</t>
  </si>
  <si>
    <t>gaikwad</t>
  </si>
  <si>
    <t>Bindu sharma</t>
  </si>
  <si>
    <t>pathak</t>
  </si>
  <si>
    <t>degani</t>
  </si>
  <si>
    <t>author</t>
  </si>
  <si>
    <t>year</t>
  </si>
  <si>
    <t>Hypercoiling and SGA/IUGR - controls normocoiling only</t>
  </si>
  <si>
    <t>Hypocoiling and SGA/IUGR - controls normocoiling only</t>
  </si>
  <si>
    <t>mention non-coiling in paper?</t>
  </si>
  <si>
    <t>Firstauthor</t>
  </si>
  <si>
    <t>&gt;37w</t>
  </si>
  <si>
    <t>&gt;42w</t>
  </si>
  <si>
    <t>&gt;36w</t>
  </si>
  <si>
    <t>mean 31</t>
  </si>
  <si>
    <t>36-42w</t>
  </si>
  <si>
    <t>20-30w</t>
  </si>
  <si>
    <t>mean 21-23w</t>
  </si>
  <si>
    <t>loose total</t>
  </si>
  <si>
    <t>tight total</t>
  </si>
  <si>
    <t>30 studies</t>
  </si>
  <si>
    <t>&lt;10th</t>
  </si>
  <si>
    <t>data for 39 weeks gestation</t>
  </si>
  <si>
    <t>SGA/IUGR</t>
  </si>
  <si>
    <t>BW</t>
  </si>
  <si>
    <t>APGAR SCORES</t>
  </si>
  <si>
    <t xml:space="preserve">Qin </t>
  </si>
  <si>
    <t xml:space="preserve">mean antenatal UCI was 0.4, SD not given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</si>
</sst>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70C0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theme="0" tint="-0.499984740745262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0" fillId="2" borderId="0" xfId="0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/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2" borderId="0" xfId="0" applyFont="1" applyFill="1"/>
    <xf numFmtId="0" fontId="1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" fillId="0" borderId="0" xfId="0" applyNumberFormat="1" applyFont="1" applyFill="1"/>
    <xf numFmtId="0" fontId="10" fillId="0" borderId="0" xfId="0" applyFont="1" applyFill="1"/>
    <xf numFmtId="0" fontId="11" fillId="0" borderId="0" xfId="0" applyFont="1" applyFill="1" applyAlignment="1">
      <alignment horizontal="right" vertical="center"/>
    </xf>
    <xf numFmtId="0" fontId="0" fillId="2" borderId="0" xfId="0" applyFont="1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5" fillId="0" borderId="0" xfId="0" applyFont="1" applyFill="1"/>
    <xf numFmtId="0" fontId="5" fillId="0" borderId="0" xfId="0" applyFont="1"/>
    <xf numFmtId="0" fontId="1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13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1" fillId="0" borderId="0" xfId="0" applyFont="1" applyFill="1"/>
    <xf numFmtId="49" fontId="5" fillId="0" borderId="0" xfId="0" applyNumberFormat="1" applyFont="1" applyFill="1"/>
    <xf numFmtId="0" fontId="14" fillId="0" borderId="0" xfId="0" applyFont="1" applyFill="1"/>
    <xf numFmtId="49" fontId="5" fillId="0" borderId="0" xfId="0" applyNumberFormat="1" applyFont="1" applyFill="1" applyAlignment="1">
      <alignment horizontal="right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CCE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topLeftCell="T1" zoomScaleNormal="100" workbookViewId="0">
      <selection activeCell="AC19" sqref="AC19"/>
    </sheetView>
  </sheetViews>
  <sheetFormatPr defaultRowHeight="15" x14ac:dyDescent="0.25"/>
  <cols>
    <col min="1" max="1" width="12" customWidth="1"/>
    <col min="5" max="5" width="9.5703125" bestFit="1" customWidth="1"/>
    <col min="6" max="6" width="12" bestFit="1" customWidth="1"/>
    <col min="8" max="8" width="12.140625" style="11" bestFit="1" customWidth="1"/>
    <col min="11" max="11" width="13.28515625" customWidth="1"/>
  </cols>
  <sheetData>
    <row r="1" spans="1:32" x14ac:dyDescent="0.25">
      <c r="A1" s="59" t="s">
        <v>11</v>
      </c>
      <c r="B1" s="59"/>
      <c r="C1" s="59"/>
      <c r="D1" s="59"/>
      <c r="E1" s="59"/>
      <c r="F1" s="59"/>
      <c r="G1" s="59"/>
      <c r="H1" s="26"/>
      <c r="I1" s="59"/>
      <c r="J1" s="59"/>
      <c r="R1" s="59"/>
      <c r="S1" s="59"/>
      <c r="U1" s="1" t="s">
        <v>66</v>
      </c>
    </row>
    <row r="2" spans="1:32" s="2" customFormat="1" x14ac:dyDescent="0.25">
      <c r="A2" s="59" t="s">
        <v>10</v>
      </c>
      <c r="B2" s="59" t="s">
        <v>0</v>
      </c>
      <c r="C2" s="59" t="s">
        <v>1</v>
      </c>
      <c r="D2" s="59" t="s">
        <v>2</v>
      </c>
      <c r="E2" s="59" t="s">
        <v>181</v>
      </c>
      <c r="F2" s="59" t="s">
        <v>88</v>
      </c>
      <c r="G2" s="59" t="s">
        <v>439</v>
      </c>
      <c r="H2" s="26" t="s">
        <v>331</v>
      </c>
      <c r="I2" s="59" t="s">
        <v>89</v>
      </c>
      <c r="J2" s="59"/>
      <c r="R2" s="26"/>
      <c r="S2" s="59"/>
      <c r="U2" s="2" t="s">
        <v>10</v>
      </c>
      <c r="V2" s="2" t="s">
        <v>0</v>
      </c>
      <c r="W2" s="2" t="s">
        <v>1</v>
      </c>
      <c r="X2" s="2" t="s">
        <v>2</v>
      </c>
      <c r="Y2" s="2" t="s">
        <v>3</v>
      </c>
      <c r="Z2" s="2" t="s">
        <v>88</v>
      </c>
      <c r="AA2" s="2" t="s">
        <v>125</v>
      </c>
      <c r="AC2"/>
      <c r="AD2"/>
    </row>
    <row r="3" spans="1:32" x14ac:dyDescent="0.25">
      <c r="A3" s="59" t="s">
        <v>226</v>
      </c>
      <c r="B3" s="59">
        <v>2018</v>
      </c>
      <c r="C3" s="59">
        <f>((681.1*92)+(537*325))/417</f>
        <v>568.79184652278184</v>
      </c>
      <c r="D3" s="59">
        <f>((112.8*92)+(86*325))/417</f>
        <v>91.912709832134283</v>
      </c>
      <c r="E3" s="59">
        <v>417</v>
      </c>
      <c r="F3" s="59">
        <f>C3*E3</f>
        <v>237186.20000000004</v>
      </c>
      <c r="G3" s="59">
        <f>D3*E3</f>
        <v>38327.599999999999</v>
      </c>
      <c r="H3" s="26" t="s">
        <v>405</v>
      </c>
      <c r="I3" s="59" t="s">
        <v>404</v>
      </c>
      <c r="J3" s="59" t="s">
        <v>221</v>
      </c>
      <c r="R3" s="26"/>
      <c r="S3" s="59"/>
      <c r="U3" s="60" t="s">
        <v>36</v>
      </c>
      <c r="V3" s="60">
        <v>2014</v>
      </c>
      <c r="W3" s="59">
        <v>0.02</v>
      </c>
      <c r="X3" s="59">
        <v>0.01</v>
      </c>
      <c r="Y3" s="60">
        <v>428</v>
      </c>
      <c r="Z3" s="60">
        <f t="shared" ref="Z3" si="0">(W3*Y3)</f>
        <v>8.56</v>
      </c>
      <c r="AA3" s="60">
        <f t="shared" ref="AA3" si="1">(X3*Y3)</f>
        <v>4.28</v>
      </c>
      <c r="AB3" s="60"/>
      <c r="AF3" s="54" t="s">
        <v>36</v>
      </c>
    </row>
    <row r="4" spans="1:32" x14ac:dyDescent="0.25">
      <c r="A4" s="59" t="s">
        <v>36</v>
      </c>
      <c r="B4" s="59">
        <v>2014</v>
      </c>
      <c r="C4" s="59">
        <v>526.87</v>
      </c>
      <c r="D4" s="59">
        <v>115.15</v>
      </c>
      <c r="E4" s="59">
        <v>428</v>
      </c>
      <c r="F4" s="59">
        <f t="shared" ref="F4:F48" si="2">C4*E4</f>
        <v>225500.36000000002</v>
      </c>
      <c r="G4" s="59">
        <f t="shared" ref="G4:G48" si="3">D4*E4</f>
        <v>49284.200000000004</v>
      </c>
      <c r="H4" s="62" t="s">
        <v>407</v>
      </c>
      <c r="I4" s="59" t="s">
        <v>406</v>
      </c>
      <c r="J4" s="59" t="s">
        <v>221</v>
      </c>
      <c r="R4" s="26"/>
      <c r="S4" s="59"/>
      <c r="U4" s="60" t="s">
        <v>36</v>
      </c>
      <c r="V4" s="60">
        <v>2018</v>
      </c>
      <c r="W4" s="60">
        <v>0.21</v>
      </c>
      <c r="X4" s="60">
        <v>9.9000000000000005E-2</v>
      </c>
      <c r="Y4" s="60">
        <v>436</v>
      </c>
      <c r="Z4" s="60">
        <f t="shared" ref="Z4" si="4">(W4*Y4)</f>
        <v>91.56</v>
      </c>
      <c r="AA4" s="60">
        <f t="shared" ref="AA4" si="5">(X4*Y4)</f>
        <v>43.164000000000001</v>
      </c>
      <c r="AB4" s="60"/>
      <c r="AF4" s="25" t="s">
        <v>444</v>
      </c>
    </row>
    <row r="5" spans="1:32" x14ac:dyDescent="0.25">
      <c r="A5" s="59" t="s">
        <v>36</v>
      </c>
      <c r="B5" s="59">
        <v>2018</v>
      </c>
      <c r="C5" s="59">
        <v>527</v>
      </c>
      <c r="D5" s="59">
        <v>115</v>
      </c>
      <c r="E5" s="59">
        <v>436</v>
      </c>
      <c r="F5" s="59">
        <f t="shared" si="2"/>
        <v>229772</v>
      </c>
      <c r="G5" s="59">
        <f t="shared" si="3"/>
        <v>50140</v>
      </c>
      <c r="H5" s="26" t="s">
        <v>405</v>
      </c>
      <c r="I5" s="59"/>
      <c r="J5" s="59"/>
      <c r="R5" s="26"/>
      <c r="S5" s="26"/>
      <c r="U5" s="60" t="s">
        <v>123</v>
      </c>
      <c r="V5" s="60">
        <v>2012</v>
      </c>
      <c r="W5" s="60">
        <v>0.41</v>
      </c>
      <c r="X5" s="60">
        <v>0.3</v>
      </c>
      <c r="Y5" s="60">
        <v>454</v>
      </c>
      <c r="Z5" s="60">
        <f t="shared" ref="Z5:Z10" si="6">(W5*Y5)</f>
        <v>186.14</v>
      </c>
      <c r="AA5" s="60">
        <f t="shared" ref="AA5:AA10" si="7">(X5*Y5)</f>
        <v>136.19999999999999</v>
      </c>
      <c r="AB5" s="60"/>
      <c r="AF5" s="54" t="s">
        <v>431</v>
      </c>
    </row>
    <row r="6" spans="1:32" x14ac:dyDescent="0.25">
      <c r="A6" s="59" t="s">
        <v>37</v>
      </c>
      <c r="B6" s="59">
        <v>1978</v>
      </c>
      <c r="C6" s="59">
        <v>574.79999999999995</v>
      </c>
      <c r="D6" s="59">
        <v>120.4</v>
      </c>
      <c r="E6" s="59">
        <v>602</v>
      </c>
      <c r="F6" s="59">
        <f t="shared" si="2"/>
        <v>346029.6</v>
      </c>
      <c r="G6" s="59">
        <f t="shared" si="3"/>
        <v>72480.800000000003</v>
      </c>
      <c r="H6" s="26" t="s">
        <v>405</v>
      </c>
      <c r="I6" s="59"/>
      <c r="J6" s="59"/>
      <c r="R6" s="26"/>
      <c r="S6" s="26"/>
      <c r="U6" s="60" t="s">
        <v>431</v>
      </c>
      <c r="V6" s="60">
        <v>2017</v>
      </c>
      <c r="W6" s="60">
        <v>0.24</v>
      </c>
      <c r="X6" s="60">
        <v>0.09</v>
      </c>
      <c r="Y6" s="60">
        <v>500</v>
      </c>
      <c r="Z6" s="60">
        <f t="shared" si="6"/>
        <v>120</v>
      </c>
      <c r="AA6" s="60">
        <f t="shared" si="7"/>
        <v>45</v>
      </c>
      <c r="AB6" s="60"/>
      <c r="AF6" s="25" t="s">
        <v>40</v>
      </c>
    </row>
    <row r="7" spans="1:32" s="2" customFormat="1" x14ac:dyDescent="0.25">
      <c r="A7" s="59" t="s">
        <v>20</v>
      </c>
      <c r="B7" s="59">
        <v>2012</v>
      </c>
      <c r="C7" s="59">
        <v>638.70000000000005</v>
      </c>
      <c r="D7" s="59">
        <v>156.9</v>
      </c>
      <c r="E7" s="59">
        <v>1000</v>
      </c>
      <c r="F7" s="59">
        <f t="shared" si="2"/>
        <v>638700</v>
      </c>
      <c r="G7" s="59">
        <f t="shared" si="3"/>
        <v>156900</v>
      </c>
      <c r="H7" s="26" t="s">
        <v>409</v>
      </c>
      <c r="I7" s="59" t="s">
        <v>408</v>
      </c>
      <c r="J7" s="59" t="s">
        <v>221</v>
      </c>
      <c r="R7" s="26"/>
      <c r="S7" s="59"/>
      <c r="U7" s="60" t="s">
        <v>40</v>
      </c>
      <c r="V7" s="60">
        <v>2012</v>
      </c>
      <c r="W7" s="60">
        <v>0.24</v>
      </c>
      <c r="X7" s="60">
        <v>0.09</v>
      </c>
      <c r="Y7" s="60">
        <v>1000</v>
      </c>
      <c r="Z7" s="60">
        <f t="shared" si="6"/>
        <v>240</v>
      </c>
      <c r="AA7" s="60">
        <f t="shared" si="7"/>
        <v>90</v>
      </c>
      <c r="AB7" s="60"/>
      <c r="AC7"/>
      <c r="AD7"/>
      <c r="AF7" s="25" t="s">
        <v>54</v>
      </c>
    </row>
    <row r="8" spans="1:32" x14ac:dyDescent="0.25">
      <c r="A8" s="59" t="s">
        <v>38</v>
      </c>
      <c r="B8" s="59">
        <v>2011</v>
      </c>
      <c r="C8" s="59">
        <v>501.8</v>
      </c>
      <c r="D8" s="59">
        <v>82.6</v>
      </c>
      <c r="E8" s="59">
        <v>1494</v>
      </c>
      <c r="F8" s="59">
        <f t="shared" si="2"/>
        <v>749689.20000000007</v>
      </c>
      <c r="G8" s="59">
        <f t="shared" si="3"/>
        <v>123404.4</v>
      </c>
      <c r="H8" s="26" t="s">
        <v>410</v>
      </c>
      <c r="I8" s="59"/>
      <c r="J8" s="59"/>
      <c r="R8" s="26"/>
      <c r="S8" s="59"/>
      <c r="U8" s="60" t="s">
        <v>111</v>
      </c>
      <c r="V8" s="60">
        <v>2002</v>
      </c>
      <c r="W8" s="60">
        <v>0.17</v>
      </c>
      <c r="X8" s="60">
        <v>8.9999999999999993E-3</v>
      </c>
      <c r="Y8" s="60">
        <v>122</v>
      </c>
      <c r="Z8" s="60">
        <f t="shared" si="6"/>
        <v>20.740000000000002</v>
      </c>
      <c r="AA8" s="60">
        <f t="shared" si="7"/>
        <v>1.0979999999999999</v>
      </c>
      <c r="AB8" s="60"/>
      <c r="AF8" s="25" t="s">
        <v>260</v>
      </c>
    </row>
    <row r="9" spans="1:32" x14ac:dyDescent="0.25">
      <c r="A9" s="59" t="s">
        <v>39</v>
      </c>
      <c r="B9" s="59">
        <v>1987</v>
      </c>
      <c r="C9" s="59">
        <v>595</v>
      </c>
      <c r="D9" s="59">
        <v>130</v>
      </c>
      <c r="E9" s="59">
        <v>108</v>
      </c>
      <c r="F9" s="59">
        <f t="shared" si="2"/>
        <v>64260</v>
      </c>
      <c r="G9" s="59">
        <f t="shared" si="3"/>
        <v>14040</v>
      </c>
      <c r="H9" s="26" t="s">
        <v>405</v>
      </c>
      <c r="I9" s="59" t="s">
        <v>411</v>
      </c>
      <c r="J9" s="59" t="s">
        <v>221</v>
      </c>
      <c r="R9" s="26"/>
      <c r="S9" s="59"/>
      <c r="U9" s="60" t="s">
        <v>41</v>
      </c>
      <c r="V9" s="60">
        <v>2006</v>
      </c>
      <c r="W9" s="60">
        <v>0.16</v>
      </c>
      <c r="X9" s="60">
        <v>0.1</v>
      </c>
      <c r="Y9" s="60">
        <v>885</v>
      </c>
      <c r="Z9" s="60">
        <f t="shared" si="6"/>
        <v>141.6</v>
      </c>
      <c r="AA9" s="60">
        <f t="shared" si="7"/>
        <v>88.5</v>
      </c>
      <c r="AB9" s="60"/>
      <c r="AF9" s="25" t="s">
        <v>260</v>
      </c>
    </row>
    <row r="10" spans="1:32" x14ac:dyDescent="0.25">
      <c r="A10" s="59" t="s">
        <v>203</v>
      </c>
      <c r="B10" s="59">
        <v>1979</v>
      </c>
      <c r="C10" s="59">
        <v>454</v>
      </c>
      <c r="D10" s="59">
        <v>126</v>
      </c>
      <c r="E10" s="59">
        <v>528</v>
      </c>
      <c r="F10" s="59">
        <f t="shared" si="2"/>
        <v>239712</v>
      </c>
      <c r="G10" s="59">
        <f t="shared" si="3"/>
        <v>66528</v>
      </c>
      <c r="H10" s="26" t="s">
        <v>412</v>
      </c>
      <c r="I10" s="59" t="s">
        <v>292</v>
      </c>
      <c r="J10" s="59" t="s">
        <v>221</v>
      </c>
      <c r="R10" s="26"/>
      <c r="S10" s="59"/>
      <c r="U10" s="60" t="s">
        <v>41</v>
      </c>
      <c r="V10" s="60">
        <v>2006</v>
      </c>
      <c r="W10" s="60">
        <v>0.3</v>
      </c>
      <c r="X10" s="60">
        <v>0.09</v>
      </c>
      <c r="Y10" s="60">
        <v>45</v>
      </c>
      <c r="Z10" s="60">
        <f t="shared" si="6"/>
        <v>13.5</v>
      </c>
      <c r="AA10" s="60">
        <f t="shared" si="7"/>
        <v>4.05</v>
      </c>
      <c r="AB10" s="60"/>
      <c r="AF10" s="45" t="s">
        <v>207</v>
      </c>
    </row>
    <row r="11" spans="1:32" x14ac:dyDescent="0.25">
      <c r="A11" s="59" t="s">
        <v>40</v>
      </c>
      <c r="B11" s="59">
        <v>2012</v>
      </c>
      <c r="C11" s="59">
        <v>528.70000000000005</v>
      </c>
      <c r="D11" s="59">
        <v>134.9</v>
      </c>
      <c r="E11" s="59">
        <v>1000</v>
      </c>
      <c r="F11" s="59">
        <f t="shared" si="2"/>
        <v>528700</v>
      </c>
      <c r="G11" s="59">
        <f t="shared" si="3"/>
        <v>134900</v>
      </c>
      <c r="H11" s="26" t="s">
        <v>414</v>
      </c>
      <c r="I11" s="59" t="s">
        <v>413</v>
      </c>
      <c r="J11" s="59" t="s">
        <v>221</v>
      </c>
      <c r="R11" s="26"/>
      <c r="S11" s="59"/>
      <c r="U11" s="60" t="s">
        <v>42</v>
      </c>
      <c r="V11" s="60">
        <v>1995</v>
      </c>
      <c r="W11" s="60">
        <v>0.28000000000000003</v>
      </c>
      <c r="X11" s="60">
        <v>0.08</v>
      </c>
      <c r="Y11" s="60">
        <v>45</v>
      </c>
      <c r="Z11" s="60">
        <f t="shared" ref="Z11:Z12" si="8">(W11*Y11)</f>
        <v>12.600000000000001</v>
      </c>
      <c r="AA11" s="60">
        <f t="shared" ref="AA11:AA12" si="9">(X11*Y11)</f>
        <v>3.6</v>
      </c>
      <c r="AB11" s="78"/>
      <c r="AF11" s="25" t="s">
        <v>208</v>
      </c>
    </row>
    <row r="12" spans="1:32" x14ac:dyDescent="0.25">
      <c r="A12" s="59" t="s">
        <v>41</v>
      </c>
      <c r="B12" s="59">
        <v>2006</v>
      </c>
      <c r="C12" s="59">
        <v>525</v>
      </c>
      <c r="D12" s="59">
        <v>166</v>
      </c>
      <c r="E12" s="59">
        <v>885</v>
      </c>
      <c r="F12" s="59">
        <f t="shared" si="2"/>
        <v>464625</v>
      </c>
      <c r="G12" s="59">
        <f t="shared" si="3"/>
        <v>146910</v>
      </c>
      <c r="H12" s="26" t="s">
        <v>272</v>
      </c>
      <c r="I12" s="59"/>
      <c r="J12" s="59"/>
      <c r="R12" s="26"/>
      <c r="S12" s="59"/>
      <c r="U12" s="60" t="s">
        <v>42</v>
      </c>
      <c r="V12" s="60">
        <v>1995</v>
      </c>
      <c r="W12" s="60">
        <v>0.44</v>
      </c>
      <c r="X12" s="60">
        <v>0.11</v>
      </c>
      <c r="Y12" s="60">
        <v>45</v>
      </c>
      <c r="Z12" s="60">
        <f t="shared" si="8"/>
        <v>19.8</v>
      </c>
      <c r="AA12" s="60">
        <f t="shared" si="9"/>
        <v>4.95</v>
      </c>
      <c r="AB12" s="60"/>
      <c r="AF12" s="25" t="s">
        <v>443</v>
      </c>
    </row>
    <row r="13" spans="1:32" x14ac:dyDescent="0.25">
      <c r="A13" s="59" t="s">
        <v>41</v>
      </c>
      <c r="B13" s="59">
        <v>2007</v>
      </c>
      <c r="C13" s="59">
        <v>392</v>
      </c>
      <c r="D13" s="59">
        <v>187</v>
      </c>
      <c r="E13" s="59">
        <v>565</v>
      </c>
      <c r="F13" s="59">
        <f t="shared" si="2"/>
        <v>221480</v>
      </c>
      <c r="G13" s="59">
        <f t="shared" si="3"/>
        <v>105655</v>
      </c>
      <c r="H13" s="26" t="s">
        <v>272</v>
      </c>
      <c r="I13" s="59"/>
      <c r="J13" s="59"/>
      <c r="R13" s="26"/>
      <c r="S13" s="59"/>
      <c r="U13" s="60" t="s">
        <v>42</v>
      </c>
      <c r="V13" s="60">
        <v>2001</v>
      </c>
      <c r="W13" s="60">
        <v>0.44</v>
      </c>
      <c r="X13" s="60">
        <v>0.11</v>
      </c>
      <c r="Y13" s="60">
        <v>124</v>
      </c>
      <c r="Z13" s="60">
        <f>(W13*Y13)</f>
        <v>54.56</v>
      </c>
      <c r="AA13" s="60">
        <f>(X13*Y13)</f>
        <v>13.64</v>
      </c>
      <c r="AB13" s="60"/>
      <c r="AF13" s="25" t="s">
        <v>440</v>
      </c>
    </row>
    <row r="14" spans="1:32" x14ac:dyDescent="0.25">
      <c r="A14" s="59" t="s">
        <v>42</v>
      </c>
      <c r="B14" s="59">
        <v>1995</v>
      </c>
      <c r="C14" s="59">
        <v>416</v>
      </c>
      <c r="D14" s="59">
        <v>152</v>
      </c>
      <c r="E14" s="59">
        <v>45</v>
      </c>
      <c r="F14" s="59">
        <f t="shared" si="2"/>
        <v>18720</v>
      </c>
      <c r="G14" s="59">
        <f t="shared" si="3"/>
        <v>6840</v>
      </c>
      <c r="H14" s="26" t="s">
        <v>415</v>
      </c>
      <c r="I14" s="59"/>
      <c r="J14" s="59"/>
      <c r="R14" s="59"/>
      <c r="S14" s="59"/>
      <c r="U14" s="60" t="s">
        <v>43</v>
      </c>
      <c r="V14" s="60">
        <v>2011</v>
      </c>
      <c r="W14" s="60">
        <v>0.35</v>
      </c>
      <c r="X14" s="60">
        <v>0.08</v>
      </c>
      <c r="Y14" s="60">
        <v>124</v>
      </c>
      <c r="Z14" s="60">
        <f>(W14*Y14)</f>
        <v>43.4</v>
      </c>
      <c r="AA14" s="60">
        <f>(X14*Y14)</f>
        <v>9.92</v>
      </c>
      <c r="AB14" s="60"/>
      <c r="AF14" s="25" t="s">
        <v>441</v>
      </c>
    </row>
    <row r="15" spans="1:32" x14ac:dyDescent="0.25">
      <c r="A15" s="59" t="s">
        <v>43</v>
      </c>
      <c r="B15" s="59">
        <v>2011</v>
      </c>
      <c r="C15" s="59">
        <v>583</v>
      </c>
      <c r="D15" s="59">
        <v>96</v>
      </c>
      <c r="E15" s="59">
        <v>124</v>
      </c>
      <c r="F15" s="59">
        <f t="shared" si="2"/>
        <v>72292</v>
      </c>
      <c r="G15" s="59">
        <f t="shared" si="3"/>
        <v>11904</v>
      </c>
      <c r="H15" s="26" t="s">
        <v>416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U15" s="58" t="s">
        <v>430</v>
      </c>
      <c r="V15" s="58">
        <v>2016</v>
      </c>
      <c r="W15" s="58">
        <v>0.19</v>
      </c>
      <c r="X15" s="18" t="s">
        <v>436</v>
      </c>
      <c r="Y15" s="58"/>
      <c r="Z15" s="55"/>
      <c r="AA15" s="55"/>
      <c r="AB15" s="55"/>
      <c r="AF15" s="25" t="s">
        <v>182</v>
      </c>
    </row>
    <row r="16" spans="1:32" x14ac:dyDescent="0.25">
      <c r="A16" s="59" t="s">
        <v>207</v>
      </c>
      <c r="B16" s="59">
        <v>1996</v>
      </c>
      <c r="C16" s="59">
        <v>568</v>
      </c>
      <c r="D16" s="59">
        <v>103</v>
      </c>
      <c r="E16" s="59">
        <v>147</v>
      </c>
      <c r="F16" s="59">
        <f t="shared" si="2"/>
        <v>83496</v>
      </c>
      <c r="G16" s="59">
        <f t="shared" si="3"/>
        <v>15141</v>
      </c>
      <c r="H16" s="26" t="s">
        <v>405</v>
      </c>
      <c r="I16" s="59"/>
      <c r="J16" s="59"/>
      <c r="K16" s="59"/>
      <c r="L16" s="24"/>
      <c r="M16" s="59"/>
      <c r="N16" s="59"/>
      <c r="O16" s="59"/>
      <c r="P16" s="59"/>
      <c r="Q16" s="59"/>
      <c r="R16" s="59"/>
      <c r="S16" s="59"/>
      <c r="U16" s="55" t="s">
        <v>46</v>
      </c>
      <c r="V16" s="55">
        <v>2014</v>
      </c>
      <c r="W16" s="55">
        <v>0.2</v>
      </c>
      <c r="X16" s="55">
        <v>0.09</v>
      </c>
      <c r="Y16" s="55">
        <v>1082</v>
      </c>
      <c r="Z16" s="55">
        <f t="shared" ref="Z16:Z21" si="10">(W16*Y16)</f>
        <v>216.4</v>
      </c>
      <c r="AA16" s="55">
        <f t="shared" ref="AA16:AA21" si="11">(X16*Y16)</f>
        <v>97.38</v>
      </c>
      <c r="AB16" s="55"/>
      <c r="AF16" s="25" t="s">
        <v>442</v>
      </c>
    </row>
    <row r="17" spans="1:32" x14ac:dyDescent="0.25">
      <c r="A17" s="59" t="s">
        <v>44</v>
      </c>
      <c r="B17" s="59">
        <v>2001</v>
      </c>
      <c r="C17" s="59">
        <v>580</v>
      </c>
      <c r="D17" s="59">
        <v>95</v>
      </c>
      <c r="E17" s="59">
        <v>396</v>
      </c>
      <c r="F17" s="59">
        <f t="shared" si="2"/>
        <v>229680</v>
      </c>
      <c r="G17" s="59">
        <f t="shared" si="3"/>
        <v>37620</v>
      </c>
      <c r="H17" s="26" t="s">
        <v>417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U17" s="55" t="s">
        <v>182</v>
      </c>
      <c r="V17" s="55">
        <v>2006</v>
      </c>
      <c r="W17" s="55">
        <v>0.25</v>
      </c>
      <c r="X17" s="55">
        <v>0.09</v>
      </c>
      <c r="Y17" s="55">
        <v>699</v>
      </c>
      <c r="Z17" s="55">
        <f t="shared" si="10"/>
        <v>174.75</v>
      </c>
      <c r="AA17" s="55">
        <f t="shared" si="11"/>
        <v>62.91</v>
      </c>
      <c r="AB17" s="55"/>
      <c r="AF17" s="25" t="s">
        <v>445</v>
      </c>
    </row>
    <row r="18" spans="1:32" x14ac:dyDescent="0.25">
      <c r="A18" s="59" t="s">
        <v>45</v>
      </c>
      <c r="B18" s="59">
        <v>1995</v>
      </c>
      <c r="C18" s="59">
        <v>506.5</v>
      </c>
      <c r="D18" s="59">
        <v>30</v>
      </c>
      <c r="E18" s="59">
        <v>3703</v>
      </c>
      <c r="F18" s="59">
        <f t="shared" si="2"/>
        <v>1875569.5</v>
      </c>
      <c r="G18" s="59">
        <f t="shared" si="3"/>
        <v>111090</v>
      </c>
      <c r="H18" s="26" t="s">
        <v>272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U18" s="55" t="s">
        <v>122</v>
      </c>
      <c r="V18" s="55">
        <v>2015</v>
      </c>
      <c r="W18" s="55">
        <v>0.36099999999999999</v>
      </c>
      <c r="X18" s="55">
        <v>7.2999999999999995E-2</v>
      </c>
      <c r="Y18" s="55">
        <v>200</v>
      </c>
      <c r="Z18" s="55">
        <f t="shared" si="10"/>
        <v>72.2</v>
      </c>
      <c r="AA18" s="55">
        <f t="shared" si="11"/>
        <v>14.6</v>
      </c>
      <c r="AB18" s="55"/>
      <c r="AF18" s="25" t="s">
        <v>87</v>
      </c>
    </row>
    <row r="19" spans="1:32" x14ac:dyDescent="0.25">
      <c r="A19" s="59" t="s">
        <v>46</v>
      </c>
      <c r="B19" s="59">
        <v>2014</v>
      </c>
      <c r="C19" s="59">
        <v>430</v>
      </c>
      <c r="D19" s="59">
        <v>130</v>
      </c>
      <c r="E19" s="59">
        <v>1082</v>
      </c>
      <c r="F19" s="59">
        <f t="shared" si="2"/>
        <v>465260</v>
      </c>
      <c r="G19" s="59">
        <f t="shared" si="3"/>
        <v>140660</v>
      </c>
      <c r="H19" s="26" t="s">
        <v>272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U19" s="55" t="s">
        <v>101</v>
      </c>
      <c r="V19" s="55">
        <v>2010</v>
      </c>
      <c r="W19" s="55">
        <v>0.2</v>
      </c>
      <c r="X19" s="55">
        <v>0.09</v>
      </c>
      <c r="Y19" s="55">
        <v>854</v>
      </c>
      <c r="Z19" s="55">
        <f t="shared" si="10"/>
        <v>170.8</v>
      </c>
      <c r="AA19" s="55">
        <f t="shared" si="11"/>
        <v>76.86</v>
      </c>
      <c r="AB19" s="55"/>
      <c r="AF19" s="25" t="s">
        <v>446</v>
      </c>
    </row>
    <row r="20" spans="1:32" x14ac:dyDescent="0.25">
      <c r="A20" s="59" t="s">
        <v>211</v>
      </c>
      <c r="B20" s="59">
        <v>2008</v>
      </c>
      <c r="C20" s="59">
        <v>224</v>
      </c>
      <c r="D20" s="59">
        <v>37</v>
      </c>
      <c r="E20" s="59">
        <v>166</v>
      </c>
      <c r="F20" s="59">
        <f t="shared" si="2"/>
        <v>37184</v>
      </c>
      <c r="G20" s="59">
        <f t="shared" si="3"/>
        <v>6142</v>
      </c>
      <c r="H20" s="26" t="s">
        <v>421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U20" s="55" t="s">
        <v>468</v>
      </c>
      <c r="V20" s="55">
        <v>2002</v>
      </c>
      <c r="W20" s="55">
        <v>0.2</v>
      </c>
      <c r="X20" s="55">
        <v>0.1</v>
      </c>
      <c r="Y20" s="55">
        <v>374</v>
      </c>
      <c r="Z20" s="55">
        <f t="shared" si="10"/>
        <v>74.8</v>
      </c>
      <c r="AA20" s="55">
        <f t="shared" si="11"/>
        <v>37.4</v>
      </c>
      <c r="AB20" s="55"/>
      <c r="AF20" s="25" t="s">
        <v>446</v>
      </c>
    </row>
    <row r="21" spans="1:32" hidden="1" x14ac:dyDescent="0.25">
      <c r="A21" s="59" t="s">
        <v>100</v>
      </c>
      <c r="B21" s="59">
        <v>1998</v>
      </c>
      <c r="C21" s="59">
        <v>561</v>
      </c>
      <c r="D21" s="59">
        <v>93</v>
      </c>
      <c r="E21" s="59"/>
      <c r="F21" s="59">
        <f t="shared" si="2"/>
        <v>0</v>
      </c>
      <c r="G21" s="59">
        <f t="shared" si="3"/>
        <v>0</v>
      </c>
      <c r="H21" s="26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U21" s="55" t="s">
        <v>99</v>
      </c>
      <c r="V21" s="55">
        <v>1995</v>
      </c>
      <c r="W21" s="55">
        <v>0.19</v>
      </c>
      <c r="X21" s="55">
        <v>0.1</v>
      </c>
      <c r="Y21" s="55">
        <v>635</v>
      </c>
      <c r="Z21" s="55">
        <f t="shared" si="10"/>
        <v>120.65</v>
      </c>
      <c r="AA21" s="55">
        <f t="shared" si="11"/>
        <v>63.5</v>
      </c>
      <c r="AB21" s="55"/>
    </row>
    <row r="22" spans="1:32" x14ac:dyDescent="0.25">
      <c r="A22" s="59" t="s">
        <v>103</v>
      </c>
      <c r="B22" s="59">
        <v>1964</v>
      </c>
      <c r="C22" s="59">
        <v>610</v>
      </c>
      <c r="D22" s="59">
        <v>40</v>
      </c>
      <c r="E22" s="59">
        <v>538</v>
      </c>
      <c r="F22" s="59">
        <f t="shared" si="2"/>
        <v>328180</v>
      </c>
      <c r="G22" s="59">
        <f t="shared" si="3"/>
        <v>21520</v>
      </c>
      <c r="H22" s="26" t="s">
        <v>426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U22" s="58" t="s">
        <v>429</v>
      </c>
      <c r="V22" s="58">
        <v>2015</v>
      </c>
      <c r="W22" s="58" t="s">
        <v>469</v>
      </c>
      <c r="X22" s="58"/>
      <c r="Y22" s="58"/>
      <c r="Z22" s="58"/>
      <c r="AA22" s="58"/>
      <c r="AB22" s="55"/>
    </row>
    <row r="23" spans="1:32" x14ac:dyDescent="0.25">
      <c r="A23" s="59" t="s">
        <v>120</v>
      </c>
      <c r="B23" s="59">
        <v>1985</v>
      </c>
      <c r="C23" s="59">
        <v>525</v>
      </c>
      <c r="D23" s="59">
        <v>112</v>
      </c>
      <c r="E23" s="59">
        <v>3153</v>
      </c>
      <c r="F23" s="59">
        <f t="shared" si="2"/>
        <v>1655325</v>
      </c>
      <c r="G23" s="59">
        <f t="shared" si="3"/>
        <v>353136</v>
      </c>
      <c r="H23" s="26" t="s">
        <v>403</v>
      </c>
      <c r="I23" s="59"/>
      <c r="J23" s="59"/>
      <c r="K23" s="59"/>
      <c r="L23" s="59"/>
      <c r="M23" s="59"/>
      <c r="N23" s="59"/>
      <c r="O23" s="24"/>
      <c r="P23" s="59"/>
      <c r="Q23" s="59"/>
      <c r="R23" s="59"/>
      <c r="S23" s="59"/>
      <c r="U23" s="55" t="s">
        <v>124</v>
      </c>
      <c r="V23" s="55">
        <v>1994</v>
      </c>
      <c r="W23" s="55">
        <v>0.21</v>
      </c>
      <c r="X23" s="55">
        <v>7.0000000000000007E-2</v>
      </c>
      <c r="Y23" s="55">
        <v>100</v>
      </c>
      <c r="Z23" s="55">
        <f>(W23*Y23)</f>
        <v>21</v>
      </c>
      <c r="AA23" s="55">
        <f>(X23*Y23)</f>
        <v>7.0000000000000009</v>
      </c>
      <c r="AB23" s="55"/>
    </row>
    <row r="24" spans="1:32" x14ac:dyDescent="0.25">
      <c r="A24" s="59" t="s">
        <v>120</v>
      </c>
      <c r="B24" s="59">
        <v>1985</v>
      </c>
      <c r="C24" s="59">
        <v>574</v>
      </c>
      <c r="D24" s="59">
        <v>126</v>
      </c>
      <c r="E24" s="59">
        <v>10083</v>
      </c>
      <c r="F24" s="59">
        <f t="shared" si="2"/>
        <v>5787642</v>
      </c>
      <c r="G24" s="59">
        <f t="shared" si="3"/>
        <v>1270458</v>
      </c>
      <c r="H24" s="26" t="s">
        <v>402</v>
      </c>
      <c r="I24" s="59"/>
      <c r="J24" s="59"/>
      <c r="K24" s="59"/>
      <c r="L24" s="59"/>
      <c r="M24" s="59"/>
      <c r="N24" s="59"/>
      <c r="O24" s="24"/>
      <c r="P24" s="59"/>
      <c r="Q24" s="59"/>
      <c r="R24" s="59"/>
      <c r="S24" s="59"/>
      <c r="U24" s="55" t="s">
        <v>124</v>
      </c>
      <c r="V24" s="55">
        <v>1996</v>
      </c>
      <c r="W24" s="55">
        <v>0.18</v>
      </c>
      <c r="X24" s="55">
        <v>0.09</v>
      </c>
      <c r="Y24" s="55">
        <v>63</v>
      </c>
      <c r="Z24" s="55">
        <f>(W24*Y24)</f>
        <v>11.34</v>
      </c>
      <c r="AA24" s="55">
        <f>(X24*Y24)</f>
        <v>5.67</v>
      </c>
      <c r="AB24" s="55"/>
    </row>
    <row r="25" spans="1:32" x14ac:dyDescent="0.25">
      <c r="A25" s="59" t="s">
        <v>120</v>
      </c>
      <c r="B25" s="59">
        <v>1985</v>
      </c>
      <c r="C25" s="59">
        <v>596</v>
      </c>
      <c r="D25" s="59">
        <v>126</v>
      </c>
      <c r="E25" s="59">
        <v>13841</v>
      </c>
      <c r="F25" s="59">
        <f t="shared" si="2"/>
        <v>8249236</v>
      </c>
      <c r="G25" s="59">
        <f t="shared" si="3"/>
        <v>1743966</v>
      </c>
      <c r="H25" s="26" t="s">
        <v>401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U25" s="55" t="s">
        <v>124</v>
      </c>
      <c r="V25" s="55">
        <v>1996</v>
      </c>
      <c r="W25" s="55">
        <v>0.21</v>
      </c>
      <c r="X25" s="55">
        <v>7.0000000000000007E-2</v>
      </c>
      <c r="Y25" s="55">
        <v>137</v>
      </c>
      <c r="Z25" s="55">
        <f>(W25*Y25)</f>
        <v>28.77</v>
      </c>
      <c r="AA25" s="55">
        <f>(X25*Y25)</f>
        <v>9.5900000000000016</v>
      </c>
      <c r="AB25" s="55"/>
    </row>
    <row r="26" spans="1:32" x14ac:dyDescent="0.25">
      <c r="A26" s="59" t="s">
        <v>229</v>
      </c>
      <c r="B26" s="59">
        <v>2014</v>
      </c>
      <c r="C26" s="59">
        <v>482</v>
      </c>
      <c r="D26" s="59">
        <v>43.1</v>
      </c>
      <c r="E26" s="59">
        <v>50</v>
      </c>
      <c r="F26" s="59">
        <f t="shared" si="2"/>
        <v>24100</v>
      </c>
      <c r="G26" s="59">
        <f t="shared" si="3"/>
        <v>2155</v>
      </c>
      <c r="H26" s="26" t="s">
        <v>272</v>
      </c>
      <c r="I26" s="59" t="s">
        <v>284</v>
      </c>
      <c r="J26" s="59" t="s">
        <v>221</v>
      </c>
      <c r="K26" s="59"/>
      <c r="L26" s="59"/>
      <c r="M26" s="59"/>
      <c r="N26" s="59"/>
      <c r="O26" s="59"/>
      <c r="P26" s="59"/>
      <c r="Q26" s="59"/>
      <c r="R26" s="59"/>
      <c r="S26" s="59"/>
      <c r="U26" s="55" t="s">
        <v>241</v>
      </c>
      <c r="V26" s="55">
        <v>2014</v>
      </c>
      <c r="W26" s="55">
        <v>0.2</v>
      </c>
      <c r="X26" s="55">
        <v>0.08</v>
      </c>
      <c r="Y26" s="55">
        <v>102</v>
      </c>
      <c r="Z26" s="55">
        <f>(W26*Y26)</f>
        <v>20.400000000000002</v>
      </c>
      <c r="AA26" s="55">
        <f>(X26*Y26)</f>
        <v>8.16</v>
      </c>
      <c r="AB26" s="55"/>
    </row>
    <row r="27" spans="1:32" x14ac:dyDescent="0.25">
      <c r="A27" s="59" t="s">
        <v>229</v>
      </c>
      <c r="B27" s="59">
        <v>2014</v>
      </c>
      <c r="C27" s="59">
        <v>533.20000000000005</v>
      </c>
      <c r="D27" s="59">
        <v>65.3</v>
      </c>
      <c r="E27" s="59">
        <v>50</v>
      </c>
      <c r="F27" s="59">
        <f t="shared" si="2"/>
        <v>26660.000000000004</v>
      </c>
      <c r="G27" s="59">
        <f t="shared" si="3"/>
        <v>3265</v>
      </c>
      <c r="H27" s="26" t="s">
        <v>272</v>
      </c>
      <c r="I27" s="59" t="s">
        <v>418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U27" s="3"/>
      <c r="V27" s="3"/>
      <c r="W27" s="3"/>
      <c r="X27" s="3"/>
      <c r="Y27" s="3"/>
      <c r="Z27" s="3"/>
      <c r="AA27" s="3"/>
      <c r="AB27" s="55"/>
    </row>
    <row r="28" spans="1:32" x14ac:dyDescent="0.25">
      <c r="A28" s="59" t="s">
        <v>229</v>
      </c>
      <c r="B28" s="59">
        <v>2014</v>
      </c>
      <c r="C28" s="59">
        <v>528</v>
      </c>
      <c r="D28" s="59">
        <v>82</v>
      </c>
      <c r="E28" s="59">
        <v>50</v>
      </c>
      <c r="F28" s="59">
        <f t="shared" si="2"/>
        <v>26400</v>
      </c>
      <c r="G28" s="59">
        <f t="shared" si="3"/>
        <v>4100</v>
      </c>
      <c r="H28" s="26" t="s">
        <v>272</v>
      </c>
      <c r="I28" s="59" t="s">
        <v>419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U28" s="55"/>
      <c r="V28" s="55"/>
      <c r="W28" s="55"/>
      <c r="X28" s="55"/>
      <c r="Y28" s="7"/>
      <c r="Z28" s="6"/>
      <c r="AA28" s="2"/>
      <c r="AB28" s="2"/>
    </row>
    <row r="29" spans="1:32" x14ac:dyDescent="0.25">
      <c r="A29" s="59" t="s">
        <v>102</v>
      </c>
      <c r="B29" s="59">
        <v>1960</v>
      </c>
      <c r="C29" s="59">
        <v>583.9</v>
      </c>
      <c r="D29" s="59">
        <v>120.2</v>
      </c>
      <c r="E29" s="59">
        <v>661</v>
      </c>
      <c r="F29" s="59">
        <f t="shared" si="2"/>
        <v>385957.89999999997</v>
      </c>
      <c r="G29" s="59">
        <f t="shared" si="3"/>
        <v>79452.2</v>
      </c>
      <c r="H29" s="26" t="s">
        <v>272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U29" s="55"/>
      <c r="V29" s="55"/>
      <c r="W29" s="55"/>
      <c r="X29" s="55"/>
      <c r="Y29" s="55"/>
      <c r="Z29" s="55"/>
      <c r="AA29" s="55"/>
      <c r="AB29" s="55"/>
    </row>
    <row r="30" spans="1:32" x14ac:dyDescent="0.25">
      <c r="A30" s="59" t="s">
        <v>360</v>
      </c>
      <c r="B30" s="59">
        <v>2014</v>
      </c>
      <c r="C30" s="59">
        <v>683</v>
      </c>
      <c r="D30" s="59">
        <v>132</v>
      </c>
      <c r="E30" s="59">
        <v>114</v>
      </c>
      <c r="F30" s="59">
        <f t="shared" si="2"/>
        <v>77862</v>
      </c>
      <c r="G30" s="59">
        <f t="shared" si="3"/>
        <v>15048</v>
      </c>
      <c r="H30" s="26">
        <v>39.5</v>
      </c>
      <c r="I30" s="59" t="s">
        <v>239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U30" s="55"/>
      <c r="V30" s="55"/>
      <c r="W30" s="55"/>
      <c r="X30" s="55"/>
      <c r="Y30" s="55"/>
      <c r="Z30" s="55"/>
      <c r="AA30" s="55"/>
      <c r="AB30" s="55"/>
    </row>
    <row r="31" spans="1:32" x14ac:dyDescent="0.25">
      <c r="A31" s="59" t="s">
        <v>360</v>
      </c>
      <c r="B31" s="59">
        <v>2014</v>
      </c>
      <c r="C31" s="59">
        <v>507</v>
      </c>
      <c r="D31" s="59">
        <v>92</v>
      </c>
      <c r="E31" s="59">
        <v>228</v>
      </c>
      <c r="F31" s="59">
        <f t="shared" si="2"/>
        <v>115596</v>
      </c>
      <c r="G31" s="59">
        <f t="shared" si="3"/>
        <v>20976</v>
      </c>
      <c r="H31" s="26">
        <v>39.200000000000003</v>
      </c>
      <c r="I31" s="59" t="s">
        <v>284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U31" s="55"/>
      <c r="V31" s="55"/>
      <c r="W31" s="55"/>
      <c r="X31" s="55"/>
      <c r="Y31" s="55"/>
      <c r="Z31" s="55"/>
      <c r="AA31" s="55"/>
      <c r="AB31" s="55"/>
    </row>
    <row r="32" spans="1:32" x14ac:dyDescent="0.25">
      <c r="A32" s="59" t="s">
        <v>106</v>
      </c>
      <c r="B32" s="59">
        <v>2016</v>
      </c>
      <c r="C32" s="59">
        <v>562.79999999999995</v>
      </c>
      <c r="D32" s="59">
        <v>112.9</v>
      </c>
      <c r="E32" s="59">
        <v>160</v>
      </c>
      <c r="F32" s="59">
        <f t="shared" si="2"/>
        <v>90048</v>
      </c>
      <c r="G32" s="59">
        <f t="shared" si="3"/>
        <v>18064</v>
      </c>
      <c r="H32" s="26">
        <v>39.6</v>
      </c>
      <c r="I32" s="59" t="s">
        <v>420</v>
      </c>
      <c r="J32" s="59" t="s">
        <v>221</v>
      </c>
      <c r="K32" s="59"/>
      <c r="L32" s="59"/>
      <c r="M32" s="59"/>
      <c r="N32" s="59"/>
      <c r="O32" s="59"/>
      <c r="P32" s="59"/>
      <c r="Q32" s="59"/>
      <c r="R32" s="59"/>
      <c r="S32" s="59"/>
      <c r="U32" s="55"/>
      <c r="V32" s="55"/>
      <c r="W32" s="55"/>
      <c r="X32" s="55"/>
      <c r="Y32" s="55"/>
      <c r="Z32" s="55"/>
      <c r="AA32" s="55"/>
      <c r="AB32" s="55"/>
    </row>
    <row r="33" spans="1:28" x14ac:dyDescent="0.25">
      <c r="A33" s="59" t="s">
        <v>101</v>
      </c>
      <c r="B33" s="59">
        <v>2010</v>
      </c>
      <c r="C33" s="59">
        <v>415</v>
      </c>
      <c r="D33" s="59">
        <v>142</v>
      </c>
      <c r="E33" s="59">
        <v>854</v>
      </c>
      <c r="F33" s="59">
        <f t="shared" si="2"/>
        <v>354410</v>
      </c>
      <c r="G33" s="59">
        <f t="shared" si="3"/>
        <v>121268</v>
      </c>
      <c r="H33" s="26">
        <v>39.5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U33" s="55"/>
      <c r="V33" s="55"/>
      <c r="W33" s="55"/>
      <c r="X33" s="55"/>
      <c r="Y33" s="55">
        <f>SUM(Y4:Y8,Y11,Y13:Y14,Y16:Y21,Y23:Y26)</f>
        <v>7051</v>
      </c>
      <c r="Z33" s="55"/>
      <c r="AA33" s="55"/>
      <c r="AB33" s="55"/>
    </row>
    <row r="34" spans="1:28" x14ac:dyDescent="0.25">
      <c r="A34" s="59" t="s">
        <v>218</v>
      </c>
      <c r="B34" s="59">
        <v>1968</v>
      </c>
      <c r="C34" s="59">
        <v>590</v>
      </c>
      <c r="D34" s="59">
        <v>120</v>
      </c>
      <c r="E34" s="59">
        <v>1713</v>
      </c>
      <c r="F34" s="59">
        <f t="shared" si="2"/>
        <v>1010670</v>
      </c>
      <c r="G34" s="59">
        <f t="shared" si="3"/>
        <v>205560</v>
      </c>
      <c r="H34" s="26" t="s">
        <v>272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U34" s="55"/>
      <c r="V34" s="55"/>
      <c r="W34" s="55"/>
      <c r="X34" s="55"/>
      <c r="Y34" s="55"/>
      <c r="Z34" s="55"/>
      <c r="AA34" s="55"/>
      <c r="AB34" s="55"/>
    </row>
    <row r="35" spans="1:28" x14ac:dyDescent="0.25">
      <c r="A35" s="59" t="s">
        <v>109</v>
      </c>
      <c r="B35" s="59">
        <v>2002</v>
      </c>
      <c r="C35" s="59">
        <v>470</v>
      </c>
      <c r="D35" s="59">
        <v>102</v>
      </c>
      <c r="E35" s="59">
        <v>528</v>
      </c>
      <c r="F35" s="59">
        <f t="shared" si="2"/>
        <v>248160</v>
      </c>
      <c r="G35" s="59">
        <f t="shared" si="3"/>
        <v>53856</v>
      </c>
      <c r="H35" s="26">
        <v>39.1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28" x14ac:dyDescent="0.25">
      <c r="A36" s="59" t="s">
        <v>99</v>
      </c>
      <c r="B36" s="59">
        <v>1995</v>
      </c>
      <c r="C36" s="59">
        <v>544</v>
      </c>
      <c r="D36" s="59">
        <v>123</v>
      </c>
      <c r="E36" s="59">
        <v>635</v>
      </c>
      <c r="F36" s="59">
        <f t="shared" si="2"/>
        <v>345440</v>
      </c>
      <c r="G36" s="59">
        <f t="shared" si="3"/>
        <v>78105</v>
      </c>
      <c r="H36" s="26">
        <v>38.299999999999997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28" x14ac:dyDescent="0.25">
      <c r="A37" s="59" t="s">
        <v>201</v>
      </c>
      <c r="B37" s="59">
        <v>2017</v>
      </c>
      <c r="C37" s="59">
        <v>660</v>
      </c>
      <c r="D37" s="59">
        <v>100</v>
      </c>
      <c r="E37" s="59">
        <v>1000</v>
      </c>
      <c r="F37" s="59">
        <f t="shared" si="2"/>
        <v>660000</v>
      </c>
      <c r="G37" s="59">
        <f t="shared" si="3"/>
        <v>100000</v>
      </c>
      <c r="H37" s="26" t="s">
        <v>421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28" x14ac:dyDescent="0.25">
      <c r="A38" s="59" t="s">
        <v>115</v>
      </c>
      <c r="B38" s="59">
        <v>1989</v>
      </c>
      <c r="C38" s="59">
        <v>576.6</v>
      </c>
      <c r="D38" s="59">
        <v>12.44</v>
      </c>
      <c r="E38" s="59">
        <v>613</v>
      </c>
      <c r="F38" s="59">
        <f t="shared" si="2"/>
        <v>353455.8</v>
      </c>
      <c r="G38" s="59">
        <f t="shared" si="3"/>
        <v>7625.7199999999993</v>
      </c>
      <c r="H38" s="26" t="s">
        <v>422</v>
      </c>
      <c r="I38" s="59" t="s">
        <v>303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28" x14ac:dyDescent="0.25">
      <c r="A39" s="59" t="s">
        <v>115</v>
      </c>
      <c r="B39" s="59">
        <v>1989</v>
      </c>
      <c r="C39" s="59">
        <v>583.1</v>
      </c>
      <c r="D39" s="59">
        <v>12.3</v>
      </c>
      <c r="E39" s="59">
        <v>613</v>
      </c>
      <c r="F39" s="59">
        <f t="shared" si="2"/>
        <v>357440.3</v>
      </c>
      <c r="G39" s="59">
        <f t="shared" si="3"/>
        <v>7539.9000000000005</v>
      </c>
      <c r="H39" s="26" t="s">
        <v>422</v>
      </c>
      <c r="I39" s="59" t="s">
        <v>304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28" s="3" customFormat="1" x14ac:dyDescent="0.25">
      <c r="A40" s="59" t="s">
        <v>115</v>
      </c>
      <c r="B40" s="59">
        <v>1989</v>
      </c>
      <c r="C40" s="59">
        <v>596.4</v>
      </c>
      <c r="D40" s="59">
        <v>12.83</v>
      </c>
      <c r="E40" s="59">
        <v>613</v>
      </c>
      <c r="F40" s="59">
        <f t="shared" si="2"/>
        <v>365593.2</v>
      </c>
      <c r="G40" s="59">
        <f t="shared" si="3"/>
        <v>7864.79</v>
      </c>
      <c r="H40" s="26" t="s">
        <v>422</v>
      </c>
      <c r="I40" s="59" t="s">
        <v>305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/>
    </row>
    <row r="41" spans="1:28" x14ac:dyDescent="0.25">
      <c r="A41" s="59" t="s">
        <v>117</v>
      </c>
      <c r="B41" s="59">
        <v>2003</v>
      </c>
      <c r="C41" s="59">
        <v>569</v>
      </c>
      <c r="D41" s="59">
        <v>93.8</v>
      </c>
      <c r="E41" s="59">
        <v>403</v>
      </c>
      <c r="F41" s="59">
        <f t="shared" si="2"/>
        <v>229307</v>
      </c>
      <c r="G41" s="59">
        <f t="shared" si="3"/>
        <v>37801.4</v>
      </c>
      <c r="H41" s="26" t="s">
        <v>272</v>
      </c>
      <c r="I41" s="59" t="s">
        <v>118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28" x14ac:dyDescent="0.25">
      <c r="A42" s="59" t="s">
        <v>117</v>
      </c>
      <c r="B42" s="59">
        <v>2003</v>
      </c>
      <c r="C42" s="59">
        <v>644</v>
      </c>
      <c r="D42" s="59">
        <v>113.5</v>
      </c>
      <c r="E42" s="59">
        <v>131</v>
      </c>
      <c r="F42" s="59">
        <f t="shared" si="2"/>
        <v>84364</v>
      </c>
      <c r="G42" s="59">
        <f t="shared" si="3"/>
        <v>14868.5</v>
      </c>
      <c r="H42" s="26" t="s">
        <v>272</v>
      </c>
      <c r="I42" s="59" t="s">
        <v>119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8" x14ac:dyDescent="0.25">
      <c r="A43" s="59" t="s">
        <v>104</v>
      </c>
      <c r="B43" s="59">
        <v>2012</v>
      </c>
      <c r="C43" s="59">
        <v>562</v>
      </c>
      <c r="D43" s="59">
        <v>117</v>
      </c>
      <c r="E43" s="59">
        <v>11029</v>
      </c>
      <c r="F43" s="59">
        <f t="shared" si="2"/>
        <v>6198298</v>
      </c>
      <c r="G43" s="59">
        <f t="shared" si="3"/>
        <v>1290393</v>
      </c>
      <c r="H43" s="26">
        <v>38.5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28" x14ac:dyDescent="0.25">
      <c r="A44" s="59" t="s">
        <v>113</v>
      </c>
      <c r="B44" s="59">
        <v>2017</v>
      </c>
      <c r="C44" s="59">
        <v>491</v>
      </c>
      <c r="D44" s="59">
        <v>102.1</v>
      </c>
      <c r="E44" s="59">
        <v>100</v>
      </c>
      <c r="F44" s="59">
        <f t="shared" si="2"/>
        <v>49100</v>
      </c>
      <c r="G44" s="59">
        <f t="shared" si="3"/>
        <v>10210</v>
      </c>
      <c r="H44" s="26" t="s">
        <v>370</v>
      </c>
      <c r="I44" s="59" t="s">
        <v>112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28" x14ac:dyDescent="0.25">
      <c r="A45" s="59" t="s">
        <v>241</v>
      </c>
      <c r="B45" s="59">
        <v>2014</v>
      </c>
      <c r="C45" s="59">
        <v>531</v>
      </c>
      <c r="D45" s="59">
        <v>111</v>
      </c>
      <c r="E45" s="59">
        <v>102</v>
      </c>
      <c r="F45" s="59">
        <f t="shared" si="2"/>
        <v>54162</v>
      </c>
      <c r="G45" s="59">
        <f t="shared" si="3"/>
        <v>11322</v>
      </c>
      <c r="H45" s="26" t="s">
        <v>422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28" x14ac:dyDescent="0.25">
      <c r="A46" s="59" t="s">
        <v>111</v>
      </c>
      <c r="B46" s="59">
        <v>2002</v>
      </c>
      <c r="C46" s="59">
        <v>536</v>
      </c>
      <c r="D46" s="59">
        <v>143</v>
      </c>
      <c r="E46" s="59">
        <v>122</v>
      </c>
      <c r="F46" s="59">
        <f t="shared" si="2"/>
        <v>65392</v>
      </c>
      <c r="G46" s="59">
        <f t="shared" si="3"/>
        <v>17446</v>
      </c>
      <c r="H46" s="26">
        <v>39.9</v>
      </c>
      <c r="I46" s="59" t="s">
        <v>112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28" x14ac:dyDescent="0.25">
      <c r="A47" s="59" t="s">
        <v>110</v>
      </c>
      <c r="B47" s="59">
        <v>1960</v>
      </c>
      <c r="C47" s="59">
        <v>542.1</v>
      </c>
      <c r="D47" s="59">
        <v>146</v>
      </c>
      <c r="E47" s="59">
        <v>177</v>
      </c>
      <c r="F47" s="59">
        <f t="shared" si="2"/>
        <v>95951.7</v>
      </c>
      <c r="G47" s="59">
        <f t="shared" si="3"/>
        <v>25842</v>
      </c>
      <c r="H47" s="26">
        <v>39</v>
      </c>
      <c r="I47" s="59"/>
      <c r="J47" s="59"/>
      <c r="K47" s="59"/>
      <c r="L47" s="59"/>
      <c r="M47" s="59"/>
      <c r="N47" s="59"/>
      <c r="O47" s="59"/>
      <c r="P47" s="59"/>
      <c r="Q47" s="59"/>
      <c r="R47" s="26"/>
      <c r="S47" s="59"/>
    </row>
    <row r="48" spans="1:28" x14ac:dyDescent="0.25">
      <c r="A48" s="59" t="s">
        <v>105</v>
      </c>
      <c r="B48" s="59">
        <v>1996</v>
      </c>
      <c r="C48" s="59">
        <v>557.5</v>
      </c>
      <c r="D48" s="59">
        <v>98.584000000000003</v>
      </c>
      <c r="E48" s="59">
        <v>1087</v>
      </c>
      <c r="F48" s="59">
        <f t="shared" si="2"/>
        <v>606002.5</v>
      </c>
      <c r="G48" s="59">
        <f t="shared" si="3"/>
        <v>107160.808</v>
      </c>
      <c r="H48" s="26"/>
      <c r="I48" s="59"/>
      <c r="J48" s="59"/>
      <c r="K48" s="59"/>
      <c r="L48" s="59"/>
      <c r="M48" s="59"/>
      <c r="N48" s="59"/>
      <c r="O48" s="59"/>
      <c r="P48" s="59"/>
      <c r="Q48" s="59"/>
      <c r="R48" s="26"/>
      <c r="S48" s="59"/>
    </row>
    <row r="49" spans="1:19" x14ac:dyDescent="0.25">
      <c r="A49" s="59" t="s">
        <v>105</v>
      </c>
      <c r="B49" s="59">
        <v>1996</v>
      </c>
      <c r="C49" s="59">
        <v>564.79999999999995</v>
      </c>
      <c r="D49" s="59">
        <v>97.2</v>
      </c>
      <c r="E49" s="59">
        <v>574</v>
      </c>
      <c r="F49" s="59"/>
      <c r="G49" s="59"/>
      <c r="H49" s="26" t="s">
        <v>425</v>
      </c>
      <c r="I49" s="59" t="s">
        <v>423</v>
      </c>
      <c r="J49" s="59"/>
      <c r="K49" s="59"/>
      <c r="L49" s="59"/>
      <c r="M49" s="59"/>
      <c r="N49" s="59"/>
      <c r="O49" s="59"/>
      <c r="P49" s="59"/>
      <c r="Q49" s="59"/>
      <c r="R49" s="26"/>
      <c r="S49" s="59"/>
    </row>
    <row r="50" spans="1:19" x14ac:dyDescent="0.25">
      <c r="A50" s="59" t="s">
        <v>105</v>
      </c>
      <c r="B50" s="59">
        <v>1996</v>
      </c>
      <c r="C50" s="59">
        <v>549.4</v>
      </c>
      <c r="D50" s="59">
        <v>93.5</v>
      </c>
      <c r="E50" s="59">
        <v>513</v>
      </c>
      <c r="F50" s="59"/>
      <c r="G50" s="59"/>
      <c r="H50" s="26" t="s">
        <v>425</v>
      </c>
      <c r="I50" s="59" t="s">
        <v>424</v>
      </c>
      <c r="J50" s="59"/>
      <c r="K50" s="59"/>
      <c r="L50" s="59"/>
      <c r="M50" s="59"/>
      <c r="N50" s="59"/>
      <c r="O50" s="59"/>
      <c r="P50" s="59"/>
      <c r="Q50" s="59"/>
      <c r="R50" s="26"/>
      <c r="S50" s="59"/>
    </row>
    <row r="51" spans="1:19" hidden="1" x14ac:dyDescent="0.25">
      <c r="A51" s="59" t="s">
        <v>107</v>
      </c>
      <c r="B51" s="59">
        <v>2016</v>
      </c>
      <c r="C51" s="59">
        <v>566</v>
      </c>
      <c r="D51" s="59" t="s">
        <v>300</v>
      </c>
      <c r="E51" s="59">
        <v>22693</v>
      </c>
      <c r="F51" s="59">
        <f t="shared" ref="F51" si="12">(C51*E51)</f>
        <v>12844238</v>
      </c>
      <c r="G51" s="59"/>
      <c r="H51" s="26"/>
      <c r="I51" s="59"/>
      <c r="J51" s="59"/>
      <c r="K51" s="59" t="s">
        <v>107</v>
      </c>
      <c r="L51" s="59">
        <v>2016</v>
      </c>
      <c r="M51" s="59">
        <v>566</v>
      </c>
      <c r="N51" s="59" t="s">
        <v>300</v>
      </c>
      <c r="O51" s="59">
        <v>22693</v>
      </c>
      <c r="P51" s="59">
        <f>(M51*O51)</f>
        <v>12844238</v>
      </c>
      <c r="Q51" s="59"/>
      <c r="R51" s="26"/>
      <c r="S51" s="59"/>
    </row>
    <row r="52" spans="1:19" x14ac:dyDescent="0.25">
      <c r="R52" s="11"/>
    </row>
    <row r="53" spans="1:19" x14ac:dyDescent="0.25">
      <c r="A53" s="59" t="s">
        <v>464</v>
      </c>
    </row>
    <row r="54" spans="1:19" x14ac:dyDescent="0.25">
      <c r="A54" s="59" t="s">
        <v>447</v>
      </c>
      <c r="B54" s="59" t="s">
        <v>448</v>
      </c>
      <c r="C54" s="59" t="s">
        <v>437</v>
      </c>
      <c r="D54" s="59" t="s">
        <v>438</v>
      </c>
      <c r="E54" s="59" t="s">
        <v>181</v>
      </c>
      <c r="F54" s="59" t="s">
        <v>88</v>
      </c>
      <c r="G54" s="59" t="s">
        <v>439</v>
      </c>
    </row>
    <row r="55" spans="1:19" x14ac:dyDescent="0.25">
      <c r="A55" s="59" t="s">
        <v>226</v>
      </c>
      <c r="B55" s="59">
        <v>2018</v>
      </c>
      <c r="C55" s="59">
        <f>((681.1*92)+(537*325))/417</f>
        <v>568.79184652278184</v>
      </c>
      <c r="D55" s="59">
        <f>((112.8*92)+(86*325))/417</f>
        <v>91.912709832134283</v>
      </c>
      <c r="E55" s="59">
        <v>417</v>
      </c>
      <c r="F55" s="59">
        <f t="shared" ref="F55:F57" si="13">(C55*E55)</f>
        <v>237186.20000000004</v>
      </c>
      <c r="G55" s="59">
        <f t="shared" ref="G55:G57" si="14">(D55*E55)</f>
        <v>38327.599999999999</v>
      </c>
    </row>
    <row r="56" spans="1:19" x14ac:dyDescent="0.25">
      <c r="A56" s="59" t="s">
        <v>36</v>
      </c>
      <c r="B56" s="59">
        <v>2018</v>
      </c>
      <c r="C56" s="59">
        <v>527</v>
      </c>
      <c r="D56" s="59">
        <v>115</v>
      </c>
      <c r="E56" s="59">
        <v>436</v>
      </c>
      <c r="F56" s="59">
        <f t="shared" si="13"/>
        <v>229772</v>
      </c>
      <c r="G56" s="59">
        <f t="shared" si="14"/>
        <v>50140</v>
      </c>
    </row>
    <row r="57" spans="1:19" x14ac:dyDescent="0.25">
      <c r="A57" s="59" t="s">
        <v>39</v>
      </c>
      <c r="B57" s="59">
        <v>1987</v>
      </c>
      <c r="C57" s="59">
        <v>595</v>
      </c>
      <c r="D57" s="59">
        <v>130</v>
      </c>
      <c r="E57" s="59">
        <v>108</v>
      </c>
      <c r="F57" s="59">
        <f t="shared" si="13"/>
        <v>64260</v>
      </c>
      <c r="G57" s="59">
        <f t="shared" si="14"/>
        <v>14040</v>
      </c>
    </row>
    <row r="58" spans="1:19" x14ac:dyDescent="0.25">
      <c r="A58" s="59" t="s">
        <v>44</v>
      </c>
      <c r="B58" s="59">
        <v>2001</v>
      </c>
      <c r="C58" s="59">
        <v>580</v>
      </c>
      <c r="D58" s="59">
        <v>95</v>
      </c>
      <c r="E58" s="59">
        <v>396</v>
      </c>
      <c r="F58" s="59">
        <f>(C58*E58)</f>
        <v>229680</v>
      </c>
      <c r="G58" s="59">
        <f t="shared" ref="G58:G66" si="15">(D58*E58)</f>
        <v>37620</v>
      </c>
    </row>
    <row r="59" spans="1:19" x14ac:dyDescent="0.25">
      <c r="A59" s="59" t="s">
        <v>120</v>
      </c>
      <c r="B59" s="59">
        <v>1985</v>
      </c>
      <c r="C59" s="59">
        <v>574</v>
      </c>
      <c r="D59" s="59">
        <v>126</v>
      </c>
      <c r="E59" s="59">
        <v>10083</v>
      </c>
      <c r="F59" s="59">
        <f>(C59*E59)</f>
        <v>5787642</v>
      </c>
      <c r="G59" s="59">
        <f t="shared" si="15"/>
        <v>1270458</v>
      </c>
    </row>
    <row r="60" spans="1:19" x14ac:dyDescent="0.25">
      <c r="A60" s="59" t="s">
        <v>360</v>
      </c>
      <c r="B60" s="59">
        <v>2014</v>
      </c>
      <c r="C60" s="59">
        <v>683</v>
      </c>
      <c r="D60" s="59">
        <v>132</v>
      </c>
      <c r="E60" s="59">
        <v>114</v>
      </c>
      <c r="F60" s="59">
        <f t="shared" ref="F60:F66" si="16">(C60*E60)</f>
        <v>77862</v>
      </c>
      <c r="G60" s="59">
        <f t="shared" si="15"/>
        <v>15048</v>
      </c>
    </row>
    <row r="61" spans="1:19" x14ac:dyDescent="0.25">
      <c r="A61" s="59" t="s">
        <v>360</v>
      </c>
      <c r="B61" s="59">
        <v>2014</v>
      </c>
      <c r="C61" s="59">
        <v>507</v>
      </c>
      <c r="D61" s="59">
        <v>92</v>
      </c>
      <c r="E61" s="59">
        <v>228</v>
      </c>
      <c r="F61" s="59">
        <f t="shared" si="16"/>
        <v>115596</v>
      </c>
      <c r="G61" s="59">
        <f t="shared" si="15"/>
        <v>20976</v>
      </c>
    </row>
    <row r="62" spans="1:19" x14ac:dyDescent="0.25">
      <c r="A62" s="59" t="s">
        <v>106</v>
      </c>
      <c r="B62" s="59">
        <v>2016</v>
      </c>
      <c r="C62" s="59">
        <v>562.79999999999995</v>
      </c>
      <c r="D62" s="59">
        <v>112.9</v>
      </c>
      <c r="E62" s="59">
        <v>160</v>
      </c>
      <c r="F62" s="59">
        <f t="shared" si="16"/>
        <v>90048</v>
      </c>
      <c r="G62" s="59">
        <f t="shared" si="15"/>
        <v>18064</v>
      </c>
    </row>
    <row r="63" spans="1:19" x14ac:dyDescent="0.25">
      <c r="A63" s="59" t="s">
        <v>101</v>
      </c>
      <c r="B63" s="59">
        <v>2010</v>
      </c>
      <c r="C63" s="59">
        <v>415</v>
      </c>
      <c r="D63" s="59">
        <v>142</v>
      </c>
      <c r="E63" s="59">
        <v>854</v>
      </c>
      <c r="F63" s="59">
        <f t="shared" si="16"/>
        <v>354410</v>
      </c>
      <c r="G63" s="59">
        <f t="shared" si="15"/>
        <v>121268</v>
      </c>
    </row>
    <row r="64" spans="1:19" x14ac:dyDescent="0.25">
      <c r="A64" s="59" t="s">
        <v>109</v>
      </c>
      <c r="B64" s="59">
        <v>2002</v>
      </c>
      <c r="C64" s="59">
        <v>470</v>
      </c>
      <c r="D64" s="59">
        <v>102</v>
      </c>
      <c r="E64" s="59">
        <v>528</v>
      </c>
      <c r="F64" s="59">
        <f t="shared" si="16"/>
        <v>248160</v>
      </c>
      <c r="G64" s="59">
        <f t="shared" si="15"/>
        <v>53856</v>
      </c>
    </row>
    <row r="65" spans="1:7" x14ac:dyDescent="0.25">
      <c r="A65" s="59" t="s">
        <v>111</v>
      </c>
      <c r="B65" s="59">
        <v>2002</v>
      </c>
      <c r="C65" s="59">
        <v>536</v>
      </c>
      <c r="D65" s="59">
        <v>143</v>
      </c>
      <c r="E65" s="59">
        <v>122</v>
      </c>
      <c r="F65" s="59">
        <f t="shared" si="16"/>
        <v>65392</v>
      </c>
      <c r="G65" s="59">
        <f t="shared" si="15"/>
        <v>17446</v>
      </c>
    </row>
    <row r="66" spans="1:7" x14ac:dyDescent="0.25">
      <c r="A66" s="59" t="s">
        <v>110</v>
      </c>
      <c r="B66" s="59">
        <v>1960</v>
      </c>
      <c r="C66" s="59">
        <v>542.1</v>
      </c>
      <c r="D66" s="59">
        <v>146</v>
      </c>
      <c r="E66" s="59">
        <v>177</v>
      </c>
      <c r="F66" s="59">
        <f t="shared" si="16"/>
        <v>95951.7</v>
      </c>
      <c r="G66" s="59">
        <f t="shared" si="15"/>
        <v>25842</v>
      </c>
    </row>
    <row r="67" spans="1:7" x14ac:dyDescent="0.25">
      <c r="A67" s="59"/>
      <c r="B67" s="59"/>
      <c r="C67" s="59"/>
      <c r="D67" s="59"/>
      <c r="E67" s="59"/>
      <c r="F67" s="59"/>
      <c r="G67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zoomScale="80" zoomScaleNormal="80" workbookViewId="0">
      <selection activeCell="T89" sqref="T89:X95"/>
    </sheetView>
  </sheetViews>
  <sheetFormatPr defaultRowHeight="15" x14ac:dyDescent="0.25"/>
  <cols>
    <col min="1" max="1" width="15.5703125" bestFit="1" customWidth="1"/>
    <col min="3" max="3" width="21.42578125" bestFit="1" customWidth="1"/>
    <col min="4" max="4" width="21.42578125" customWidth="1"/>
    <col min="5" max="6" width="7.7109375" bestFit="1" customWidth="1"/>
    <col min="12" max="13" width="12.28515625" customWidth="1"/>
    <col min="14" max="14" width="12.140625" bestFit="1" customWidth="1"/>
    <col min="15" max="15" width="5.5703125" bestFit="1" customWidth="1"/>
    <col min="16" max="16" width="7.28515625" bestFit="1" customWidth="1"/>
  </cols>
  <sheetData>
    <row r="1" spans="1:32" x14ac:dyDescent="0.25">
      <c r="A1" s="1" t="s">
        <v>57</v>
      </c>
    </row>
    <row r="2" spans="1:32" x14ac:dyDescent="0.25">
      <c r="A2" s="2" t="s">
        <v>10</v>
      </c>
      <c r="B2" s="2" t="s">
        <v>0</v>
      </c>
      <c r="C2" s="2" t="s">
        <v>48</v>
      </c>
      <c r="D2" s="2" t="s">
        <v>320</v>
      </c>
      <c r="E2" s="2" t="s">
        <v>165</v>
      </c>
      <c r="F2" s="2" t="s">
        <v>166</v>
      </c>
      <c r="H2" s="2" t="s">
        <v>452</v>
      </c>
      <c r="I2" s="2" t="s">
        <v>0</v>
      </c>
      <c r="L2" t="s">
        <v>331</v>
      </c>
      <c r="M2" t="s">
        <v>165</v>
      </c>
      <c r="N2" t="s">
        <v>166</v>
      </c>
      <c r="R2" s="2" t="s">
        <v>10</v>
      </c>
      <c r="S2" s="2" t="s">
        <v>0</v>
      </c>
      <c r="T2" s="2" t="s">
        <v>48</v>
      </c>
      <c r="U2" s="2" t="s">
        <v>48</v>
      </c>
      <c r="V2" s="2" t="s">
        <v>194</v>
      </c>
      <c r="W2" s="2" t="s">
        <v>165</v>
      </c>
      <c r="X2" s="2" t="s">
        <v>166</v>
      </c>
      <c r="Z2" s="2" t="s">
        <v>10</v>
      </c>
      <c r="AA2" s="2" t="s">
        <v>0</v>
      </c>
      <c r="AB2" s="2" t="s">
        <v>48</v>
      </c>
      <c r="AC2" s="2" t="s">
        <v>48</v>
      </c>
      <c r="AD2" s="2" t="s">
        <v>194</v>
      </c>
      <c r="AE2" s="2" t="s">
        <v>165</v>
      </c>
      <c r="AF2" s="2" t="s">
        <v>166</v>
      </c>
    </row>
    <row r="3" spans="1:32" s="3" customFormat="1" x14ac:dyDescent="0.25">
      <c r="A3" s="3" t="s">
        <v>226</v>
      </c>
      <c r="B3" s="3">
        <v>2018</v>
      </c>
      <c r="C3" s="3" t="s">
        <v>276</v>
      </c>
      <c r="D3" t="s">
        <v>237</v>
      </c>
      <c r="E3" s="3">
        <v>100</v>
      </c>
      <c r="F3" s="3">
        <v>455</v>
      </c>
      <c r="H3" s="3" t="s">
        <v>226</v>
      </c>
      <c r="I3" s="3">
        <v>2018</v>
      </c>
      <c r="J3" s="3" t="s">
        <v>276</v>
      </c>
      <c r="K3" s="3" t="s">
        <v>257</v>
      </c>
      <c r="L3" s="3" t="s">
        <v>453</v>
      </c>
      <c r="M3" s="3">
        <v>92</v>
      </c>
      <c r="N3" s="3">
        <v>417</v>
      </c>
      <c r="R3" s="3" t="s">
        <v>233</v>
      </c>
      <c r="S3" s="3">
        <v>2003</v>
      </c>
      <c r="T3" s="3">
        <v>1</v>
      </c>
      <c r="U3" s="3" t="s">
        <v>155</v>
      </c>
      <c r="V3" t="s">
        <v>237</v>
      </c>
      <c r="W3" s="3">
        <v>18</v>
      </c>
      <c r="X3" s="3">
        <v>68</v>
      </c>
      <c r="Y3"/>
      <c r="Z3" s="3" t="s">
        <v>233</v>
      </c>
      <c r="AA3" s="3">
        <v>2003</v>
      </c>
      <c r="AB3" s="3">
        <v>1</v>
      </c>
      <c r="AC3" s="3" t="s">
        <v>155</v>
      </c>
      <c r="AD3" t="s">
        <v>237</v>
      </c>
      <c r="AE3" s="3">
        <v>18</v>
      </c>
      <c r="AF3" s="3">
        <v>68</v>
      </c>
    </row>
    <row r="4" spans="1:32" s="3" customFormat="1" x14ac:dyDescent="0.25">
      <c r="A4" s="55" t="s">
        <v>36</v>
      </c>
      <c r="B4" s="55">
        <v>2014</v>
      </c>
      <c r="C4" s="3" t="s">
        <v>57</v>
      </c>
      <c r="D4" s="55" t="s">
        <v>237</v>
      </c>
      <c r="E4" s="3">
        <v>33</v>
      </c>
      <c r="F4" s="3">
        <v>428</v>
      </c>
      <c r="H4" s="3" t="s">
        <v>233</v>
      </c>
      <c r="I4" s="3">
        <v>2003</v>
      </c>
      <c r="K4" s="3" t="s">
        <v>257</v>
      </c>
      <c r="L4" s="3" t="s">
        <v>456</v>
      </c>
      <c r="M4" s="3">
        <v>22</v>
      </c>
      <c r="N4" s="3">
        <v>68</v>
      </c>
      <c r="V4" s="55"/>
      <c r="Y4" s="55"/>
      <c r="Z4" s="3" t="s">
        <v>233</v>
      </c>
      <c r="AA4" s="3">
        <v>2003</v>
      </c>
      <c r="AB4" s="3">
        <v>2</v>
      </c>
      <c r="AC4" s="3" t="s">
        <v>156</v>
      </c>
      <c r="AD4" t="s">
        <v>237</v>
      </c>
      <c r="AE4" s="3">
        <v>1</v>
      </c>
      <c r="AF4" s="3">
        <v>68</v>
      </c>
    </row>
    <row r="5" spans="1:32" s="3" customFormat="1" x14ac:dyDescent="0.25">
      <c r="A5" s="3" t="s">
        <v>59</v>
      </c>
      <c r="B5" s="3">
        <v>1990</v>
      </c>
      <c r="C5" s="3" t="s">
        <v>192</v>
      </c>
      <c r="D5" t="s">
        <v>237</v>
      </c>
      <c r="E5" s="3">
        <v>192</v>
      </c>
      <c r="F5" s="3">
        <v>1030</v>
      </c>
      <c r="H5" s="3" t="s">
        <v>19</v>
      </c>
      <c r="I5" s="3">
        <v>2005</v>
      </c>
      <c r="J5" s="3" t="s">
        <v>259</v>
      </c>
      <c r="K5" s="3" t="s">
        <v>257</v>
      </c>
      <c r="L5" s="3" t="s">
        <v>383</v>
      </c>
      <c r="M5">
        <v>144</v>
      </c>
      <c r="N5">
        <v>352</v>
      </c>
      <c r="R5" s="3" t="s">
        <v>233</v>
      </c>
      <c r="S5" s="3">
        <v>2003</v>
      </c>
      <c r="T5" s="3">
        <v>2</v>
      </c>
      <c r="U5" s="3" t="s">
        <v>156</v>
      </c>
      <c r="V5" t="s">
        <v>237</v>
      </c>
      <c r="W5" s="3">
        <v>1</v>
      </c>
      <c r="X5" s="3">
        <v>68</v>
      </c>
      <c r="Y5"/>
      <c r="Z5" s="4" t="s">
        <v>20</v>
      </c>
      <c r="AA5" s="4">
        <v>2012</v>
      </c>
      <c r="AB5" s="4">
        <v>1</v>
      </c>
      <c r="AC5" s="4" t="s">
        <v>155</v>
      </c>
      <c r="AD5" s="4" t="s">
        <v>237</v>
      </c>
      <c r="AE5" s="4">
        <v>124</v>
      </c>
      <c r="AF5" s="4">
        <v>1000</v>
      </c>
    </row>
    <row r="6" spans="1:32" x14ac:dyDescent="0.25">
      <c r="A6" s="3" t="s">
        <v>232</v>
      </c>
      <c r="B6" s="3">
        <v>2012</v>
      </c>
      <c r="C6" s="3" t="s">
        <v>91</v>
      </c>
      <c r="D6" t="s">
        <v>237</v>
      </c>
      <c r="E6" s="3">
        <v>1310</v>
      </c>
      <c r="F6" s="3">
        <v>29530</v>
      </c>
      <c r="G6" s="3"/>
      <c r="H6" s="3" t="s">
        <v>62</v>
      </c>
      <c r="I6" s="3">
        <v>2003</v>
      </c>
      <c r="K6" t="s">
        <v>257</v>
      </c>
      <c r="L6" t="s">
        <v>336</v>
      </c>
      <c r="M6">
        <v>24</v>
      </c>
      <c r="N6">
        <v>84</v>
      </c>
      <c r="R6" s="4" t="s">
        <v>20</v>
      </c>
      <c r="S6" s="4">
        <v>2012</v>
      </c>
      <c r="T6" s="4">
        <v>1</v>
      </c>
      <c r="U6" s="4" t="s">
        <v>155</v>
      </c>
      <c r="V6" s="4" t="s">
        <v>237</v>
      </c>
      <c r="W6" s="4">
        <v>124</v>
      </c>
      <c r="X6" s="4">
        <v>1000</v>
      </c>
      <c r="Z6" s="4" t="s">
        <v>20</v>
      </c>
      <c r="AA6" s="4">
        <v>2012</v>
      </c>
      <c r="AB6" s="4">
        <v>2</v>
      </c>
      <c r="AC6" s="4" t="s">
        <v>156</v>
      </c>
      <c r="AD6" s="4" t="s">
        <v>237</v>
      </c>
      <c r="AE6" s="4">
        <v>83</v>
      </c>
      <c r="AF6" s="4">
        <v>1000</v>
      </c>
    </row>
    <row r="7" spans="1:32" x14ac:dyDescent="0.25">
      <c r="A7" s="3" t="s">
        <v>233</v>
      </c>
      <c r="B7" s="3">
        <v>2003</v>
      </c>
      <c r="C7" s="3" t="s">
        <v>91</v>
      </c>
      <c r="D7" t="s">
        <v>237</v>
      </c>
      <c r="E7" s="3">
        <v>19</v>
      </c>
      <c r="F7" s="3">
        <v>68</v>
      </c>
      <c r="G7" s="3"/>
      <c r="H7" s="4" t="s">
        <v>204</v>
      </c>
      <c r="I7" s="4">
        <v>2000</v>
      </c>
      <c r="J7" s="4"/>
      <c r="K7" s="3" t="s">
        <v>257</v>
      </c>
      <c r="L7" s="3" t="s">
        <v>458</v>
      </c>
      <c r="M7" s="4">
        <v>184</v>
      </c>
      <c r="N7" s="4">
        <v>1064</v>
      </c>
      <c r="R7" s="4" t="s">
        <v>20</v>
      </c>
      <c r="S7" s="4">
        <v>2012</v>
      </c>
      <c r="T7" s="4">
        <v>2</v>
      </c>
      <c r="U7" s="4" t="s">
        <v>156</v>
      </c>
      <c r="V7" s="4" t="s">
        <v>237</v>
      </c>
      <c r="W7" s="4">
        <v>67</v>
      </c>
      <c r="X7" s="4">
        <v>1000</v>
      </c>
      <c r="Z7" s="4" t="s">
        <v>38</v>
      </c>
      <c r="AA7" s="4">
        <v>2011</v>
      </c>
      <c r="AB7" s="4">
        <v>1</v>
      </c>
      <c r="AC7" s="4" t="s">
        <v>155</v>
      </c>
      <c r="AD7" s="4" t="s">
        <v>237</v>
      </c>
      <c r="AE7" s="4">
        <v>133</v>
      </c>
      <c r="AF7" s="4">
        <v>1646</v>
      </c>
    </row>
    <row r="8" spans="1:32" x14ac:dyDescent="0.25">
      <c r="A8" s="3" t="s">
        <v>19</v>
      </c>
      <c r="B8" s="3">
        <v>2005</v>
      </c>
      <c r="C8" s="3" t="s">
        <v>259</v>
      </c>
      <c r="D8" t="s">
        <v>237</v>
      </c>
      <c r="E8">
        <v>142</v>
      </c>
      <c r="F8">
        <v>352</v>
      </c>
      <c r="G8" s="3"/>
      <c r="H8" s="3" t="s">
        <v>63</v>
      </c>
      <c r="I8" s="3">
        <v>2008</v>
      </c>
      <c r="K8" s="3" t="s">
        <v>257</v>
      </c>
      <c r="L8" t="s">
        <v>454</v>
      </c>
      <c r="M8">
        <v>69</v>
      </c>
      <c r="N8">
        <v>202</v>
      </c>
      <c r="R8" s="4" t="s">
        <v>20</v>
      </c>
      <c r="S8" s="4">
        <v>2012</v>
      </c>
      <c r="T8" s="4">
        <v>3</v>
      </c>
      <c r="U8" s="4" t="s">
        <v>156</v>
      </c>
      <c r="V8" s="4" t="s">
        <v>237</v>
      </c>
      <c r="W8" s="4">
        <v>13</v>
      </c>
      <c r="X8" s="4">
        <v>1000</v>
      </c>
      <c r="Z8" s="4" t="s">
        <v>38</v>
      </c>
      <c r="AA8" s="4">
        <v>2011</v>
      </c>
      <c r="AB8" s="4" t="s">
        <v>318</v>
      </c>
      <c r="AC8" s="4" t="s">
        <v>156</v>
      </c>
      <c r="AD8" s="4" t="s">
        <v>237</v>
      </c>
      <c r="AE8" s="4">
        <v>19</v>
      </c>
      <c r="AF8" s="4">
        <v>1646</v>
      </c>
    </row>
    <row r="9" spans="1:32" x14ac:dyDescent="0.25">
      <c r="A9" s="3" t="s">
        <v>255</v>
      </c>
      <c r="B9" s="3">
        <v>2016</v>
      </c>
      <c r="C9" s="3" t="s">
        <v>91</v>
      </c>
      <c r="D9" t="s">
        <v>237</v>
      </c>
      <c r="E9">
        <v>856</v>
      </c>
      <c r="F9">
        <v>37856</v>
      </c>
      <c r="G9" s="3"/>
      <c r="H9" s="3" t="s">
        <v>235</v>
      </c>
      <c r="I9" s="3">
        <v>2002</v>
      </c>
      <c r="K9" s="3" t="s">
        <v>257</v>
      </c>
      <c r="L9" t="s">
        <v>337</v>
      </c>
      <c r="M9">
        <v>35</v>
      </c>
      <c r="N9">
        <v>120</v>
      </c>
      <c r="R9" s="4" t="s">
        <v>20</v>
      </c>
      <c r="S9" s="4">
        <v>2012</v>
      </c>
      <c r="T9" s="4">
        <v>4</v>
      </c>
      <c r="U9" s="4" t="s">
        <v>156</v>
      </c>
      <c r="V9" s="4" t="s">
        <v>237</v>
      </c>
      <c r="W9" s="4">
        <v>2</v>
      </c>
      <c r="X9" s="4">
        <v>1000</v>
      </c>
      <c r="Z9" s="4" t="s">
        <v>61</v>
      </c>
      <c r="AA9" s="4">
        <v>2012</v>
      </c>
      <c r="AB9" s="4">
        <v>1</v>
      </c>
      <c r="AC9" s="4" t="s">
        <v>155</v>
      </c>
      <c r="AD9" s="4" t="s">
        <v>237</v>
      </c>
      <c r="AE9" s="4">
        <v>353</v>
      </c>
      <c r="AF9" s="4">
        <v>5025</v>
      </c>
    </row>
    <row r="10" spans="1:32" x14ac:dyDescent="0.25">
      <c r="A10" s="3" t="s">
        <v>20</v>
      </c>
      <c r="B10" s="3">
        <v>2012</v>
      </c>
      <c r="C10" t="s">
        <v>91</v>
      </c>
      <c r="D10" t="s">
        <v>237</v>
      </c>
      <c r="E10">
        <v>207</v>
      </c>
      <c r="F10">
        <v>1000</v>
      </c>
      <c r="G10" s="3"/>
      <c r="H10" s="4" t="s">
        <v>175</v>
      </c>
      <c r="I10" s="4">
        <v>2017</v>
      </c>
      <c r="J10" s="4" t="s">
        <v>91</v>
      </c>
      <c r="K10" s="3" t="s">
        <v>257</v>
      </c>
      <c r="L10" s="60" t="s">
        <v>459</v>
      </c>
      <c r="M10" s="17">
        <v>43</v>
      </c>
      <c r="N10" s="4">
        <v>897</v>
      </c>
      <c r="R10" s="4" t="s">
        <v>20</v>
      </c>
      <c r="S10" s="4">
        <v>2012</v>
      </c>
      <c r="T10" s="4">
        <v>5</v>
      </c>
      <c r="U10" s="4" t="s">
        <v>156</v>
      </c>
      <c r="V10" s="4" t="s">
        <v>237</v>
      </c>
      <c r="W10" s="4">
        <v>1</v>
      </c>
      <c r="X10" s="4">
        <v>1000</v>
      </c>
      <c r="Z10" s="4" t="s">
        <v>61</v>
      </c>
      <c r="AA10" s="4">
        <v>2012</v>
      </c>
      <c r="AB10" s="4">
        <v>2</v>
      </c>
      <c r="AC10" s="4" t="s">
        <v>156</v>
      </c>
      <c r="AD10" s="4" t="s">
        <v>237</v>
      </c>
      <c r="AE10" s="4">
        <v>36</v>
      </c>
      <c r="AF10" s="4">
        <v>5025</v>
      </c>
    </row>
    <row r="11" spans="1:32" x14ac:dyDescent="0.25">
      <c r="A11" s="3" t="s">
        <v>60</v>
      </c>
      <c r="B11" s="3">
        <v>1980</v>
      </c>
      <c r="D11" t="s">
        <v>237</v>
      </c>
      <c r="E11">
        <v>38</v>
      </c>
      <c r="F11">
        <v>115</v>
      </c>
      <c r="G11" s="3"/>
      <c r="H11" s="4" t="s">
        <v>385</v>
      </c>
      <c r="I11" s="4">
        <v>2007</v>
      </c>
      <c r="J11" s="4" t="s">
        <v>91</v>
      </c>
      <c r="K11" s="3" t="s">
        <v>257</v>
      </c>
      <c r="L11" s="60" t="s">
        <v>336</v>
      </c>
      <c r="M11">
        <v>53</v>
      </c>
      <c r="N11" s="4">
        <v>200</v>
      </c>
      <c r="R11" s="4" t="s">
        <v>38</v>
      </c>
      <c r="S11" s="4">
        <v>2011</v>
      </c>
      <c r="T11" s="4">
        <v>1</v>
      </c>
      <c r="U11" s="4" t="s">
        <v>155</v>
      </c>
      <c r="V11" s="4" t="s">
        <v>237</v>
      </c>
      <c r="W11" s="4">
        <v>133</v>
      </c>
      <c r="X11" s="4">
        <v>1646</v>
      </c>
      <c r="Z11" s="4" t="s">
        <v>58</v>
      </c>
      <c r="AA11" s="4">
        <v>2000</v>
      </c>
      <c r="AB11" s="4">
        <v>1</v>
      </c>
      <c r="AC11" s="4" t="s">
        <v>155</v>
      </c>
      <c r="AD11" s="4" t="s">
        <v>237</v>
      </c>
      <c r="AE11" s="4">
        <v>3250</v>
      </c>
      <c r="AF11" s="4">
        <v>13757</v>
      </c>
    </row>
    <row r="12" spans="1:32" x14ac:dyDescent="0.25">
      <c r="A12" s="3" t="s">
        <v>38</v>
      </c>
      <c r="B12" s="3">
        <v>2011</v>
      </c>
      <c r="C12" t="s">
        <v>91</v>
      </c>
      <c r="D12" t="s">
        <v>237</v>
      </c>
      <c r="E12">
        <v>152</v>
      </c>
      <c r="F12">
        <v>1646</v>
      </c>
      <c r="G12" s="3"/>
      <c r="H12" s="4" t="s">
        <v>215</v>
      </c>
      <c r="I12" s="4">
        <v>2007</v>
      </c>
      <c r="J12" s="4"/>
      <c r="K12" s="3" t="s">
        <v>257</v>
      </c>
      <c r="L12" t="s">
        <v>346</v>
      </c>
      <c r="M12">
        <v>36</v>
      </c>
      <c r="N12" s="4">
        <v>86</v>
      </c>
      <c r="R12" s="4" t="s">
        <v>38</v>
      </c>
      <c r="S12" s="4">
        <v>2011</v>
      </c>
      <c r="T12" s="4" t="s">
        <v>318</v>
      </c>
      <c r="U12" s="4" t="s">
        <v>156</v>
      </c>
      <c r="V12" s="4" t="s">
        <v>237</v>
      </c>
      <c r="W12" s="4">
        <v>19</v>
      </c>
      <c r="X12" s="4">
        <v>1646</v>
      </c>
      <c r="Y12" s="4"/>
      <c r="Z12" s="4" t="s">
        <v>58</v>
      </c>
      <c r="AA12" s="4">
        <v>2000</v>
      </c>
      <c r="AB12" s="4" t="s">
        <v>318</v>
      </c>
      <c r="AC12" s="4" t="s">
        <v>156</v>
      </c>
      <c r="AD12" s="4" t="s">
        <v>237</v>
      </c>
      <c r="AE12" s="4">
        <v>504</v>
      </c>
      <c r="AF12" s="4">
        <v>13757</v>
      </c>
    </row>
    <row r="13" spans="1:32" x14ac:dyDescent="0.25">
      <c r="A13" s="3" t="s">
        <v>61</v>
      </c>
      <c r="B13" s="3">
        <v>2012</v>
      </c>
      <c r="C13" s="3" t="s">
        <v>91</v>
      </c>
      <c r="D13" t="s">
        <v>237</v>
      </c>
      <c r="E13">
        <v>397</v>
      </c>
      <c r="F13">
        <v>5025</v>
      </c>
      <c r="G13" s="3"/>
      <c r="H13" t="s">
        <v>136</v>
      </c>
      <c r="I13">
        <v>2005</v>
      </c>
      <c r="J13" t="s">
        <v>91</v>
      </c>
      <c r="K13" s="3" t="s">
        <v>257</v>
      </c>
      <c r="L13" t="s">
        <v>455</v>
      </c>
      <c r="M13">
        <v>62</v>
      </c>
      <c r="N13">
        <v>289</v>
      </c>
      <c r="R13" s="4" t="s">
        <v>61</v>
      </c>
      <c r="S13" s="4">
        <v>2012</v>
      </c>
      <c r="T13" s="4">
        <v>1</v>
      </c>
      <c r="U13" s="4" t="s">
        <v>155</v>
      </c>
      <c r="V13" s="4" t="s">
        <v>237</v>
      </c>
      <c r="W13" s="4">
        <v>353</v>
      </c>
      <c r="X13" s="4">
        <v>5025</v>
      </c>
      <c r="Y13" s="4"/>
      <c r="Z13" s="4" t="s">
        <v>206</v>
      </c>
      <c r="AA13" s="4">
        <v>1995</v>
      </c>
      <c r="AB13" s="4">
        <v>1</v>
      </c>
      <c r="AC13" s="4" t="s">
        <v>155</v>
      </c>
      <c r="AD13" s="4" t="s">
        <v>237</v>
      </c>
      <c r="AE13" s="4">
        <v>133</v>
      </c>
      <c r="AF13" s="4">
        <v>3133</v>
      </c>
    </row>
    <row r="14" spans="1:32" x14ac:dyDescent="0.25">
      <c r="A14" s="4" t="s">
        <v>58</v>
      </c>
      <c r="B14" s="4">
        <v>2000</v>
      </c>
      <c r="C14" s="4" t="s">
        <v>91</v>
      </c>
      <c r="D14" t="s">
        <v>237</v>
      </c>
      <c r="E14" s="4">
        <v>3754</v>
      </c>
      <c r="F14" s="4">
        <v>13757</v>
      </c>
      <c r="G14" s="3"/>
      <c r="H14" s="4" t="s">
        <v>217</v>
      </c>
      <c r="I14" s="4">
        <v>1989</v>
      </c>
      <c r="J14" s="4" t="s">
        <v>91</v>
      </c>
      <c r="K14" s="3" t="s">
        <v>257</v>
      </c>
      <c r="L14" s="60" t="s">
        <v>426</v>
      </c>
      <c r="M14" s="4">
        <v>17</v>
      </c>
      <c r="N14" s="4">
        <v>100</v>
      </c>
      <c r="R14" s="4" t="s">
        <v>61</v>
      </c>
      <c r="S14" s="4">
        <v>2012</v>
      </c>
      <c r="T14" s="4">
        <v>2</v>
      </c>
      <c r="U14" s="4" t="s">
        <v>156</v>
      </c>
      <c r="V14" s="4" t="s">
        <v>237</v>
      </c>
      <c r="W14" s="4">
        <v>28</v>
      </c>
      <c r="X14" s="4">
        <v>5025</v>
      </c>
      <c r="Z14" s="4" t="s">
        <v>206</v>
      </c>
      <c r="AA14" s="4">
        <v>1995</v>
      </c>
      <c r="AB14" s="4">
        <v>2</v>
      </c>
      <c r="AC14" s="4" t="s">
        <v>156</v>
      </c>
      <c r="AD14" s="4" t="s">
        <v>237</v>
      </c>
      <c r="AE14" s="4">
        <v>47</v>
      </c>
      <c r="AF14" s="4">
        <v>3133</v>
      </c>
    </row>
    <row r="15" spans="1:32" x14ac:dyDescent="0.25">
      <c r="A15" s="3" t="s">
        <v>62</v>
      </c>
      <c r="B15" s="3">
        <v>2003</v>
      </c>
      <c r="D15" t="s">
        <v>237</v>
      </c>
      <c r="E15" s="4">
        <v>31</v>
      </c>
      <c r="F15">
        <v>84</v>
      </c>
      <c r="G15" s="3"/>
      <c r="H15" s="4" t="s">
        <v>109</v>
      </c>
      <c r="I15" s="4">
        <v>2000</v>
      </c>
      <c r="J15" s="4" t="s">
        <v>91</v>
      </c>
      <c r="K15" s="3" t="s">
        <v>257</v>
      </c>
      <c r="L15" s="60" t="s">
        <v>457</v>
      </c>
      <c r="M15">
        <v>76</v>
      </c>
      <c r="N15" s="4">
        <v>180</v>
      </c>
      <c r="R15" s="4" t="s">
        <v>61</v>
      </c>
      <c r="S15" s="4">
        <v>2012</v>
      </c>
      <c r="T15" s="4">
        <v>3</v>
      </c>
      <c r="U15" s="4" t="s">
        <v>156</v>
      </c>
      <c r="V15" s="4" t="s">
        <v>237</v>
      </c>
      <c r="W15" s="4">
        <v>8</v>
      </c>
      <c r="X15" s="4">
        <v>5025</v>
      </c>
      <c r="Z15" s="4" t="s">
        <v>227</v>
      </c>
      <c r="AA15" s="4">
        <v>2018</v>
      </c>
      <c r="AB15" s="4">
        <v>1</v>
      </c>
      <c r="AC15" s="4" t="s">
        <v>155</v>
      </c>
      <c r="AD15" s="4" t="s">
        <v>237</v>
      </c>
      <c r="AE15" s="4">
        <v>119</v>
      </c>
      <c r="AF15" s="4">
        <v>700</v>
      </c>
    </row>
    <row r="16" spans="1:32" x14ac:dyDescent="0.25">
      <c r="A16" s="4" t="s">
        <v>204</v>
      </c>
      <c r="B16" s="4">
        <v>2000</v>
      </c>
      <c r="C16" s="4"/>
      <c r="D16" t="s">
        <v>237</v>
      </c>
      <c r="E16" s="4">
        <v>137</v>
      </c>
      <c r="F16" s="4">
        <v>1064</v>
      </c>
      <c r="G16" s="3"/>
      <c r="H16" s="60" t="s">
        <v>345</v>
      </c>
      <c r="I16" s="60">
        <v>2000</v>
      </c>
      <c r="K16" s="3" t="s">
        <v>257</v>
      </c>
      <c r="L16" t="s">
        <v>426</v>
      </c>
      <c r="M16">
        <v>57</v>
      </c>
      <c r="N16" s="60">
        <v>132</v>
      </c>
      <c r="R16" s="4" t="s">
        <v>58</v>
      </c>
      <c r="S16" s="4">
        <v>2000</v>
      </c>
      <c r="T16" s="4">
        <v>1</v>
      </c>
      <c r="U16" s="4" t="s">
        <v>155</v>
      </c>
      <c r="V16" s="4" t="s">
        <v>237</v>
      </c>
      <c r="W16" s="4">
        <v>3250</v>
      </c>
      <c r="X16" s="4">
        <v>13757</v>
      </c>
      <c r="Z16" s="4" t="s">
        <v>227</v>
      </c>
      <c r="AA16" s="4">
        <v>2018</v>
      </c>
      <c r="AB16" s="4">
        <v>2</v>
      </c>
      <c r="AC16" s="4" t="s">
        <v>156</v>
      </c>
      <c r="AD16" s="4" t="s">
        <v>237</v>
      </c>
      <c r="AE16" s="4">
        <v>45</v>
      </c>
      <c r="AF16" s="4">
        <v>700</v>
      </c>
    </row>
    <row r="17" spans="1:32" x14ac:dyDescent="0.25">
      <c r="A17" s="4" t="s">
        <v>205</v>
      </c>
      <c r="B17" s="4">
        <v>1995</v>
      </c>
      <c r="D17" t="s">
        <v>237</v>
      </c>
      <c r="E17" s="4">
        <v>11</v>
      </c>
      <c r="F17" s="4">
        <v>37</v>
      </c>
      <c r="G17" s="3"/>
      <c r="R17" s="4" t="s">
        <v>58</v>
      </c>
      <c r="S17" s="4">
        <v>2000</v>
      </c>
      <c r="T17" s="4" t="s">
        <v>318</v>
      </c>
      <c r="U17" s="4" t="s">
        <v>156</v>
      </c>
      <c r="V17" s="4" t="s">
        <v>237</v>
      </c>
      <c r="W17" s="4">
        <v>504</v>
      </c>
      <c r="X17" s="4">
        <v>13757</v>
      </c>
      <c r="Z17" s="4" t="s">
        <v>235</v>
      </c>
      <c r="AA17" s="4">
        <v>2002</v>
      </c>
      <c r="AB17" s="4">
        <v>1</v>
      </c>
      <c r="AC17" s="4" t="s">
        <v>155</v>
      </c>
      <c r="AD17" s="4" t="s">
        <v>237</v>
      </c>
      <c r="AE17" s="4">
        <v>30</v>
      </c>
      <c r="AF17" s="4">
        <v>120</v>
      </c>
    </row>
    <row r="18" spans="1:32" x14ac:dyDescent="0.25">
      <c r="A18" s="3" t="s">
        <v>206</v>
      </c>
      <c r="B18" s="3">
        <v>1995</v>
      </c>
      <c r="C18" t="s">
        <v>91</v>
      </c>
      <c r="D18" t="s">
        <v>237</v>
      </c>
      <c r="E18">
        <v>180</v>
      </c>
      <c r="F18">
        <v>3133</v>
      </c>
      <c r="G18" s="3"/>
      <c r="R18" s="4" t="s">
        <v>206</v>
      </c>
      <c r="S18" s="4">
        <v>1995</v>
      </c>
      <c r="T18" s="4">
        <v>1</v>
      </c>
      <c r="U18" s="4" t="s">
        <v>155</v>
      </c>
      <c r="V18" s="4" t="s">
        <v>237</v>
      </c>
      <c r="W18" s="4">
        <v>133</v>
      </c>
      <c r="X18" s="4">
        <v>3133</v>
      </c>
      <c r="Z18" s="4" t="s">
        <v>235</v>
      </c>
      <c r="AA18" s="4">
        <v>2002</v>
      </c>
      <c r="AB18" s="4">
        <v>2</v>
      </c>
      <c r="AC18" s="4" t="s">
        <v>156</v>
      </c>
      <c r="AD18" s="4" t="s">
        <v>237</v>
      </c>
      <c r="AE18" s="4">
        <v>5</v>
      </c>
      <c r="AF18" s="4">
        <v>120</v>
      </c>
    </row>
    <row r="19" spans="1:32" x14ac:dyDescent="0.25">
      <c r="A19" s="3" t="s">
        <v>287</v>
      </c>
      <c r="B19" s="3">
        <v>2013</v>
      </c>
      <c r="C19" t="s">
        <v>91</v>
      </c>
      <c r="D19" t="s">
        <v>237</v>
      </c>
      <c r="E19">
        <v>184</v>
      </c>
      <c r="F19">
        <v>1784</v>
      </c>
      <c r="G19" s="3"/>
      <c r="N19">
        <f>SUM(N3:N16)</f>
        <v>4191</v>
      </c>
      <c r="R19" s="4" t="s">
        <v>206</v>
      </c>
      <c r="S19" s="4">
        <v>1995</v>
      </c>
      <c r="T19" s="4">
        <v>2</v>
      </c>
      <c r="U19" s="4" t="s">
        <v>156</v>
      </c>
      <c r="V19" s="4" t="s">
        <v>237</v>
      </c>
      <c r="W19" s="4">
        <v>37</v>
      </c>
      <c r="X19" s="4">
        <v>3133</v>
      </c>
      <c r="Z19" s="4" t="s">
        <v>64</v>
      </c>
      <c r="AA19" s="4">
        <v>2004</v>
      </c>
      <c r="AB19" s="4">
        <v>1</v>
      </c>
      <c r="AC19" s="4" t="s">
        <v>155</v>
      </c>
      <c r="AD19" s="4" t="s">
        <v>237</v>
      </c>
      <c r="AE19" s="4">
        <v>43</v>
      </c>
      <c r="AF19" s="4">
        <v>167</v>
      </c>
    </row>
    <row r="20" spans="1:32" x14ac:dyDescent="0.25">
      <c r="A20" s="3" t="s">
        <v>227</v>
      </c>
      <c r="B20" s="3">
        <v>2018</v>
      </c>
      <c r="C20" t="s">
        <v>91</v>
      </c>
      <c r="D20" t="s">
        <v>237</v>
      </c>
      <c r="E20">
        <v>164</v>
      </c>
      <c r="F20">
        <v>700</v>
      </c>
      <c r="G20" s="3"/>
      <c r="R20" s="4" t="s">
        <v>206</v>
      </c>
      <c r="S20" s="4">
        <v>1995</v>
      </c>
      <c r="T20" s="4">
        <v>3</v>
      </c>
      <c r="U20" s="4" t="s">
        <v>156</v>
      </c>
      <c r="V20" s="4" t="s">
        <v>237</v>
      </c>
      <c r="W20" s="4">
        <v>9</v>
      </c>
      <c r="X20" s="4">
        <v>3133</v>
      </c>
      <c r="Z20" s="4" t="s">
        <v>64</v>
      </c>
      <c r="AA20" s="4">
        <v>2004</v>
      </c>
      <c r="AB20" s="4">
        <v>2</v>
      </c>
      <c r="AC20" s="4" t="s">
        <v>156</v>
      </c>
      <c r="AD20" s="4" t="s">
        <v>237</v>
      </c>
      <c r="AE20" s="4">
        <v>4</v>
      </c>
      <c r="AF20" s="4">
        <v>167</v>
      </c>
    </row>
    <row r="21" spans="1:32" x14ac:dyDescent="0.25">
      <c r="A21" s="3" t="s">
        <v>235</v>
      </c>
      <c r="B21" s="3">
        <v>2002</v>
      </c>
      <c r="C21" t="s">
        <v>91</v>
      </c>
      <c r="D21" t="s">
        <v>237</v>
      </c>
      <c r="E21">
        <v>35</v>
      </c>
      <c r="F21">
        <v>120</v>
      </c>
      <c r="G21" s="3"/>
      <c r="H21" t="s">
        <v>368</v>
      </c>
      <c r="R21" s="4" t="s">
        <v>206</v>
      </c>
      <c r="S21" s="4">
        <v>1995</v>
      </c>
      <c r="T21" s="4">
        <v>4</v>
      </c>
      <c r="U21" s="4" t="s">
        <v>156</v>
      </c>
      <c r="V21" s="4" t="s">
        <v>237</v>
      </c>
      <c r="W21" s="4">
        <v>1</v>
      </c>
      <c r="X21" s="4">
        <v>3133</v>
      </c>
      <c r="Z21" s="4" t="s">
        <v>210</v>
      </c>
      <c r="AA21" s="4">
        <v>1995</v>
      </c>
      <c r="AB21" t="s">
        <v>91</v>
      </c>
      <c r="AC21" s="4" t="s">
        <v>91</v>
      </c>
      <c r="AD21" s="60" t="s">
        <v>237</v>
      </c>
      <c r="AE21" s="4">
        <v>832</v>
      </c>
      <c r="AF21" s="4">
        <v>2650</v>
      </c>
    </row>
    <row r="22" spans="1:32" x14ac:dyDescent="0.25">
      <c r="A22" s="4" t="s">
        <v>64</v>
      </c>
      <c r="B22" s="4">
        <v>2003</v>
      </c>
      <c r="C22" s="4" t="s">
        <v>91</v>
      </c>
      <c r="D22" s="4" t="s">
        <v>237</v>
      </c>
      <c r="E22" s="4">
        <v>47</v>
      </c>
      <c r="F22" s="4">
        <v>167</v>
      </c>
      <c r="G22" s="3"/>
      <c r="H22" s="3" t="s">
        <v>226</v>
      </c>
      <c r="I22" s="3">
        <v>2018</v>
      </c>
      <c r="J22" s="3" t="s">
        <v>276</v>
      </c>
      <c r="K22" s="3" t="s">
        <v>257</v>
      </c>
      <c r="L22" s="3">
        <v>92</v>
      </c>
      <c r="M22" s="3">
        <v>417</v>
      </c>
      <c r="R22" s="4" t="s">
        <v>227</v>
      </c>
      <c r="S22" s="4">
        <v>2018</v>
      </c>
      <c r="T22" s="4">
        <v>1</v>
      </c>
      <c r="U22" s="4" t="s">
        <v>155</v>
      </c>
      <c r="V22" s="4" t="s">
        <v>237</v>
      </c>
      <c r="W22" s="4">
        <v>119</v>
      </c>
      <c r="X22" s="4">
        <v>700</v>
      </c>
      <c r="Z22" s="4" t="s">
        <v>65</v>
      </c>
      <c r="AA22" s="4">
        <v>2017</v>
      </c>
      <c r="AB22" s="4">
        <v>1</v>
      </c>
      <c r="AC22" s="4" t="s">
        <v>155</v>
      </c>
      <c r="AD22" s="4" t="s">
        <v>237</v>
      </c>
      <c r="AE22" s="4">
        <v>63</v>
      </c>
      <c r="AF22" s="4">
        <v>506</v>
      </c>
    </row>
    <row r="23" spans="1:32" x14ac:dyDescent="0.25">
      <c r="A23" s="4" t="s">
        <v>75</v>
      </c>
      <c r="B23" s="4">
        <v>2013</v>
      </c>
      <c r="C23" s="4" t="s">
        <v>91</v>
      </c>
      <c r="D23" s="4" t="s">
        <v>237</v>
      </c>
      <c r="E23" s="4">
        <v>61845</v>
      </c>
      <c r="F23" s="4">
        <v>219337</v>
      </c>
      <c r="G23" s="3"/>
      <c r="H23" s="3" t="s">
        <v>233</v>
      </c>
      <c r="I23">
        <v>2003</v>
      </c>
      <c r="J23" t="s">
        <v>369</v>
      </c>
      <c r="K23" t="s">
        <v>257</v>
      </c>
      <c r="L23">
        <v>22</v>
      </c>
      <c r="M23">
        <v>68</v>
      </c>
      <c r="R23" s="4" t="s">
        <v>227</v>
      </c>
      <c r="S23" s="4">
        <v>2018</v>
      </c>
      <c r="T23" s="4">
        <v>2</v>
      </c>
      <c r="U23" s="4" t="s">
        <v>156</v>
      </c>
      <c r="V23" s="4" t="s">
        <v>237</v>
      </c>
      <c r="W23" s="4">
        <v>38</v>
      </c>
      <c r="X23" s="4">
        <v>700</v>
      </c>
      <c r="Z23" s="4" t="s">
        <v>65</v>
      </c>
      <c r="AA23" s="4">
        <v>2017</v>
      </c>
      <c r="AB23" s="4">
        <v>2</v>
      </c>
      <c r="AC23" s="4" t="s">
        <v>156</v>
      </c>
      <c r="AD23" s="4" t="s">
        <v>237</v>
      </c>
      <c r="AE23" s="4">
        <v>37</v>
      </c>
      <c r="AF23" s="4">
        <v>506</v>
      </c>
    </row>
    <row r="24" spans="1:32" x14ac:dyDescent="0.25">
      <c r="A24" s="4" t="s">
        <v>209</v>
      </c>
      <c r="B24" s="4">
        <v>2001</v>
      </c>
      <c r="C24" s="4"/>
      <c r="D24" s="4" t="s">
        <v>237</v>
      </c>
      <c r="E24" s="4">
        <v>11294</v>
      </c>
      <c r="F24" s="4">
        <v>69139</v>
      </c>
      <c r="G24" s="3"/>
      <c r="H24" s="3" t="s">
        <v>19</v>
      </c>
      <c r="I24" s="3">
        <v>2005</v>
      </c>
      <c r="J24" s="3" t="s">
        <v>259</v>
      </c>
      <c r="K24" t="s">
        <v>257</v>
      </c>
      <c r="L24">
        <v>144</v>
      </c>
      <c r="M24">
        <v>352</v>
      </c>
      <c r="R24" s="4" t="s">
        <v>227</v>
      </c>
      <c r="S24" s="4">
        <v>2018</v>
      </c>
      <c r="T24" s="4">
        <v>3</v>
      </c>
      <c r="U24" s="4" t="s">
        <v>156</v>
      </c>
      <c r="V24" s="4" t="s">
        <v>237</v>
      </c>
      <c r="W24" s="4">
        <v>7</v>
      </c>
      <c r="X24" s="4">
        <v>700</v>
      </c>
      <c r="Z24" s="4" t="s">
        <v>175</v>
      </c>
      <c r="AA24" s="4">
        <v>2017</v>
      </c>
      <c r="AB24" s="4" t="s">
        <v>318</v>
      </c>
      <c r="AC24" s="4" t="s">
        <v>156</v>
      </c>
      <c r="AD24" s="4" t="s">
        <v>237</v>
      </c>
      <c r="AE24" s="17">
        <v>5</v>
      </c>
      <c r="AF24" s="4">
        <v>897</v>
      </c>
    </row>
    <row r="25" spans="1:32" x14ac:dyDescent="0.25">
      <c r="A25" s="4" t="s">
        <v>210</v>
      </c>
      <c r="B25" s="4">
        <v>1995</v>
      </c>
      <c r="C25" s="4" t="s">
        <v>91</v>
      </c>
      <c r="D25" s="4" t="s">
        <v>237</v>
      </c>
      <c r="E25" s="4">
        <v>832</v>
      </c>
      <c r="F25" s="4">
        <v>2650</v>
      </c>
      <c r="G25" s="3"/>
      <c r="H25" s="4" t="s">
        <v>204</v>
      </c>
      <c r="I25" s="4">
        <v>2000</v>
      </c>
      <c r="J25" s="4"/>
      <c r="K25" t="s">
        <v>257</v>
      </c>
      <c r="L25" s="4">
        <v>184</v>
      </c>
      <c r="M25" s="4">
        <v>1064</v>
      </c>
      <c r="R25" s="4" t="s">
        <v>235</v>
      </c>
      <c r="S25" s="4">
        <v>2002</v>
      </c>
      <c r="T25" s="4">
        <v>1</v>
      </c>
      <c r="U25" s="4" t="s">
        <v>155</v>
      </c>
      <c r="V25" s="4" t="s">
        <v>237</v>
      </c>
      <c r="W25" s="4">
        <v>30</v>
      </c>
      <c r="X25" s="4">
        <v>120</v>
      </c>
      <c r="Z25" s="4" t="s">
        <v>175</v>
      </c>
      <c r="AA25" s="4">
        <v>2017</v>
      </c>
      <c r="AB25" s="4">
        <v>1</v>
      </c>
      <c r="AC25" s="4" t="s">
        <v>155</v>
      </c>
      <c r="AD25" s="4" t="s">
        <v>237</v>
      </c>
      <c r="AE25" s="4">
        <v>38</v>
      </c>
      <c r="AF25" s="4">
        <v>897</v>
      </c>
    </row>
    <row r="26" spans="1:32" x14ac:dyDescent="0.25">
      <c r="A26" s="4" t="s">
        <v>65</v>
      </c>
      <c r="B26" s="4">
        <v>2017</v>
      </c>
      <c r="C26" s="4" t="s">
        <v>91</v>
      </c>
      <c r="D26" s="4" t="s">
        <v>237</v>
      </c>
      <c r="E26" s="4">
        <v>100</v>
      </c>
      <c r="F26" s="4">
        <v>506</v>
      </c>
      <c r="G26" s="3"/>
      <c r="H26" s="3" t="s">
        <v>63</v>
      </c>
      <c r="I26" s="3">
        <v>2008</v>
      </c>
      <c r="K26" t="s">
        <v>257</v>
      </c>
      <c r="L26">
        <v>69</v>
      </c>
      <c r="M26">
        <v>202</v>
      </c>
      <c r="R26" s="4" t="s">
        <v>235</v>
      </c>
      <c r="S26" s="4">
        <v>2002</v>
      </c>
      <c r="T26" s="4">
        <v>2</v>
      </c>
      <c r="U26" s="4" t="s">
        <v>156</v>
      </c>
      <c r="V26" s="4" t="s">
        <v>237</v>
      </c>
      <c r="W26" s="4">
        <v>4</v>
      </c>
      <c r="X26" s="4">
        <v>120</v>
      </c>
      <c r="Z26" s="4" t="s">
        <v>92</v>
      </c>
      <c r="AA26" s="4">
        <v>2015</v>
      </c>
      <c r="AB26" s="4">
        <v>1</v>
      </c>
      <c r="AC26" s="4" t="s">
        <v>155</v>
      </c>
      <c r="AD26" s="4" t="s">
        <v>237</v>
      </c>
      <c r="AE26" s="17">
        <v>1219</v>
      </c>
      <c r="AF26" s="17">
        <v>5166</v>
      </c>
    </row>
    <row r="27" spans="1:32" x14ac:dyDescent="0.25">
      <c r="A27" s="4" t="s">
        <v>51</v>
      </c>
      <c r="B27" s="4">
        <v>2014</v>
      </c>
      <c r="C27" s="4"/>
      <c r="D27" s="4" t="s">
        <v>317</v>
      </c>
      <c r="E27" s="4">
        <v>18046</v>
      </c>
      <c r="F27" s="4">
        <v>121227</v>
      </c>
      <c r="G27" s="6"/>
      <c r="H27" s="3" t="s">
        <v>235</v>
      </c>
      <c r="I27" s="3">
        <v>2002</v>
      </c>
      <c r="K27" t="s">
        <v>257</v>
      </c>
      <c r="L27">
        <v>29</v>
      </c>
      <c r="M27">
        <v>120</v>
      </c>
      <c r="O27" s="4"/>
      <c r="R27" s="4" t="s">
        <v>235</v>
      </c>
      <c r="S27" s="4">
        <v>2002</v>
      </c>
      <c r="T27" s="4">
        <v>3</v>
      </c>
      <c r="U27" s="4" t="s">
        <v>156</v>
      </c>
      <c r="V27" s="4" t="s">
        <v>237</v>
      </c>
      <c r="W27" s="4">
        <v>1</v>
      </c>
      <c r="X27" s="4">
        <v>120</v>
      </c>
      <c r="Z27" s="4" t="s">
        <v>92</v>
      </c>
      <c r="AA27" s="4">
        <v>2015</v>
      </c>
      <c r="AB27" s="4">
        <v>2</v>
      </c>
      <c r="AC27" s="4" t="s">
        <v>156</v>
      </c>
      <c r="AD27" s="4" t="s">
        <v>237</v>
      </c>
      <c r="AE27" s="17">
        <v>166</v>
      </c>
      <c r="AF27" s="17">
        <v>5166</v>
      </c>
    </row>
    <row r="28" spans="1:32" x14ac:dyDescent="0.25">
      <c r="A28" s="60" t="s">
        <v>384</v>
      </c>
      <c r="B28" s="60">
        <v>2015</v>
      </c>
      <c r="C28" s="60" t="s">
        <v>91</v>
      </c>
      <c r="D28" s="60" t="s">
        <v>237</v>
      </c>
      <c r="E28" s="60">
        <v>1451</v>
      </c>
      <c r="F28" s="60">
        <v>6307</v>
      </c>
      <c r="G28" s="3"/>
      <c r="H28" s="4" t="s">
        <v>175</v>
      </c>
      <c r="I28" s="4">
        <v>2017</v>
      </c>
      <c r="J28" s="4" t="s">
        <v>91</v>
      </c>
      <c r="K28" t="s">
        <v>257</v>
      </c>
      <c r="L28" s="17">
        <v>43</v>
      </c>
      <c r="M28" s="4">
        <v>897</v>
      </c>
      <c r="O28" s="60"/>
      <c r="R28" s="4" t="s">
        <v>64</v>
      </c>
      <c r="S28" s="4">
        <v>2004</v>
      </c>
      <c r="T28" s="4">
        <v>1</v>
      </c>
      <c r="U28" s="4" t="s">
        <v>155</v>
      </c>
      <c r="V28" s="4" t="s">
        <v>237</v>
      </c>
      <c r="W28" s="4">
        <v>43</v>
      </c>
      <c r="X28" s="4">
        <v>167</v>
      </c>
      <c r="Z28" s="4" t="s">
        <v>315</v>
      </c>
      <c r="AA28" s="4">
        <v>2017</v>
      </c>
      <c r="AB28" s="4">
        <v>1</v>
      </c>
      <c r="AC28" s="4" t="s">
        <v>155</v>
      </c>
      <c r="AD28" s="4" t="s">
        <v>237</v>
      </c>
      <c r="AE28" s="4">
        <v>124</v>
      </c>
      <c r="AF28" s="4">
        <v>1000</v>
      </c>
    </row>
    <row r="29" spans="1:32" x14ac:dyDescent="0.25">
      <c r="A29" s="60" t="s">
        <v>92</v>
      </c>
      <c r="B29" s="60">
        <v>2015</v>
      </c>
      <c r="C29" s="60" t="s">
        <v>91</v>
      </c>
      <c r="D29" s="60" t="s">
        <v>237</v>
      </c>
      <c r="E29" s="17">
        <v>1390</v>
      </c>
      <c r="F29" s="17">
        <v>5166</v>
      </c>
      <c r="G29" s="3"/>
      <c r="H29" s="3" t="s">
        <v>385</v>
      </c>
      <c r="I29" s="3">
        <v>2007</v>
      </c>
      <c r="K29" t="s">
        <v>257</v>
      </c>
      <c r="L29">
        <v>53</v>
      </c>
      <c r="M29">
        <v>200</v>
      </c>
      <c r="N29" s="4" t="s">
        <v>336</v>
      </c>
      <c r="O29" s="60"/>
      <c r="R29" s="4" t="s">
        <v>64</v>
      </c>
      <c r="S29" s="4">
        <v>2004</v>
      </c>
      <c r="T29" s="4">
        <v>2</v>
      </c>
      <c r="U29" s="4" t="s">
        <v>156</v>
      </c>
      <c r="V29" s="4" t="s">
        <v>237</v>
      </c>
      <c r="W29" s="4">
        <v>4</v>
      </c>
      <c r="X29" s="4">
        <v>167</v>
      </c>
      <c r="Z29" s="4" t="s">
        <v>315</v>
      </c>
      <c r="AA29" s="4">
        <v>2017</v>
      </c>
      <c r="AB29" s="4">
        <v>2</v>
      </c>
      <c r="AC29" s="4" t="s">
        <v>156</v>
      </c>
      <c r="AD29" s="4" t="s">
        <v>237</v>
      </c>
      <c r="AE29" s="4">
        <v>96</v>
      </c>
      <c r="AF29" s="4">
        <v>1000</v>
      </c>
    </row>
    <row r="30" spans="1:32" x14ac:dyDescent="0.25">
      <c r="A30" s="4" t="s">
        <v>315</v>
      </c>
      <c r="B30" s="4">
        <v>2017</v>
      </c>
      <c r="C30" s="4" t="s">
        <v>91</v>
      </c>
      <c r="D30" s="4" t="s">
        <v>237</v>
      </c>
      <c r="E30" s="4">
        <v>220</v>
      </c>
      <c r="F30" s="4">
        <v>1000</v>
      </c>
      <c r="G30" s="3"/>
      <c r="H30" s="3" t="s">
        <v>215</v>
      </c>
      <c r="I30" s="3">
        <v>2007</v>
      </c>
      <c r="K30" t="s">
        <v>257</v>
      </c>
      <c r="L30">
        <v>26</v>
      </c>
      <c r="M30">
        <v>86</v>
      </c>
      <c r="N30" s="4"/>
      <c r="O30" s="60"/>
      <c r="R30" s="4" t="s">
        <v>65</v>
      </c>
      <c r="S30" s="4">
        <v>2017</v>
      </c>
      <c r="T30" s="4">
        <v>1</v>
      </c>
      <c r="U30" s="4" t="s">
        <v>155</v>
      </c>
      <c r="V30" s="4" t="s">
        <v>237</v>
      </c>
      <c r="W30" s="4">
        <v>63</v>
      </c>
      <c r="X30" s="4">
        <v>506</v>
      </c>
      <c r="Z30" s="4" t="s">
        <v>212</v>
      </c>
      <c r="AA30" s="4">
        <v>1995</v>
      </c>
      <c r="AB30" s="4">
        <v>1</v>
      </c>
      <c r="AC30" s="3" t="s">
        <v>155</v>
      </c>
      <c r="AD30" t="s">
        <v>237</v>
      </c>
      <c r="AE30" s="17">
        <v>2191</v>
      </c>
      <c r="AF30" s="17">
        <v>8565</v>
      </c>
    </row>
    <row r="31" spans="1:32" x14ac:dyDescent="0.25">
      <c r="A31" s="4" t="s">
        <v>385</v>
      </c>
      <c r="B31" s="4">
        <v>2007</v>
      </c>
      <c r="C31" s="4" t="s">
        <v>91</v>
      </c>
      <c r="D31" s="4" t="s">
        <v>237</v>
      </c>
      <c r="E31">
        <v>56</v>
      </c>
      <c r="F31" s="4">
        <v>200</v>
      </c>
      <c r="G31" s="3"/>
      <c r="H31" t="s">
        <v>136</v>
      </c>
      <c r="I31">
        <v>2005</v>
      </c>
      <c r="J31" t="s">
        <v>91</v>
      </c>
      <c r="K31" t="s">
        <v>257</v>
      </c>
      <c r="L31">
        <v>62</v>
      </c>
      <c r="M31">
        <v>289</v>
      </c>
      <c r="N31" s="4"/>
      <c r="O31" s="4"/>
      <c r="R31" s="4" t="s">
        <v>65</v>
      </c>
      <c r="S31" s="4">
        <v>2017</v>
      </c>
      <c r="T31" s="4">
        <v>2</v>
      </c>
      <c r="U31" s="4" t="s">
        <v>156</v>
      </c>
      <c r="V31" s="4" t="s">
        <v>237</v>
      </c>
      <c r="W31" s="4">
        <v>28</v>
      </c>
      <c r="X31" s="4">
        <v>506</v>
      </c>
      <c r="Z31" s="4" t="s">
        <v>212</v>
      </c>
      <c r="AA31" s="4">
        <v>1995</v>
      </c>
      <c r="AB31" s="4" t="s">
        <v>318</v>
      </c>
      <c r="AC31" s="3" t="s">
        <v>156</v>
      </c>
      <c r="AD31" t="s">
        <v>237</v>
      </c>
      <c r="AE31" s="17">
        <v>326</v>
      </c>
      <c r="AF31" s="17">
        <v>8565</v>
      </c>
    </row>
    <row r="32" spans="1:32" x14ac:dyDescent="0.25">
      <c r="A32" s="4" t="s">
        <v>212</v>
      </c>
      <c r="B32" s="4">
        <v>1995</v>
      </c>
      <c r="C32" s="4" t="s">
        <v>91</v>
      </c>
      <c r="D32" s="4" t="s">
        <v>237</v>
      </c>
      <c r="E32" s="17">
        <f>2191+326</f>
        <v>2517</v>
      </c>
      <c r="F32" s="17">
        <v>8565</v>
      </c>
      <c r="G32" s="3"/>
      <c r="H32" s="4" t="s">
        <v>217</v>
      </c>
      <c r="I32" s="4">
        <v>1989</v>
      </c>
      <c r="J32" s="4" t="s">
        <v>91</v>
      </c>
      <c r="K32" s="4" t="s">
        <v>257</v>
      </c>
      <c r="L32" s="4">
        <v>17</v>
      </c>
      <c r="M32" s="4">
        <v>100</v>
      </c>
      <c r="O32" s="4"/>
      <c r="R32" s="4" t="s">
        <v>65</v>
      </c>
      <c r="S32" s="4">
        <v>2017</v>
      </c>
      <c r="T32" s="4">
        <v>3</v>
      </c>
      <c r="U32" s="4" t="s">
        <v>156</v>
      </c>
      <c r="V32" s="4" t="s">
        <v>237</v>
      </c>
      <c r="W32" s="4">
        <v>6</v>
      </c>
      <c r="X32" s="4">
        <v>506</v>
      </c>
      <c r="Z32" s="4" t="s">
        <v>212</v>
      </c>
      <c r="AA32" s="4">
        <v>1997</v>
      </c>
      <c r="AB32" s="4">
        <v>1</v>
      </c>
      <c r="AC32" s="3" t="s">
        <v>155</v>
      </c>
      <c r="AD32" t="s">
        <v>237</v>
      </c>
      <c r="AE32" s="17">
        <v>3246</v>
      </c>
      <c r="AF32" s="17">
        <v>13875</v>
      </c>
    </row>
    <row r="33" spans="1:32" x14ac:dyDescent="0.25">
      <c r="A33" s="4" t="s">
        <v>212</v>
      </c>
      <c r="B33" s="4">
        <v>1997</v>
      </c>
      <c r="C33" s="4" t="s">
        <v>91</v>
      </c>
      <c r="D33" s="4" t="s">
        <v>237</v>
      </c>
      <c r="E33" s="17">
        <v>3758</v>
      </c>
      <c r="F33" s="17">
        <v>13875</v>
      </c>
      <c r="G33" s="3"/>
      <c r="H33" t="s">
        <v>109</v>
      </c>
      <c r="I33">
        <v>2000</v>
      </c>
      <c r="L33">
        <v>76</v>
      </c>
      <c r="M33">
        <v>180</v>
      </c>
      <c r="R33" s="4" t="s">
        <v>65</v>
      </c>
      <c r="S33" s="4">
        <v>2017</v>
      </c>
      <c r="T33" s="4">
        <v>4</v>
      </c>
      <c r="U33" s="4" t="s">
        <v>156</v>
      </c>
      <c r="V33" s="4" t="s">
        <v>237</v>
      </c>
      <c r="W33" s="4">
        <v>3</v>
      </c>
      <c r="X33" s="4">
        <v>506</v>
      </c>
      <c r="Z33" s="4" t="s">
        <v>212</v>
      </c>
      <c r="AA33" s="4">
        <v>1997</v>
      </c>
      <c r="AB33" s="4" t="s">
        <v>318</v>
      </c>
      <c r="AC33" s="3" t="s">
        <v>156</v>
      </c>
      <c r="AD33" t="s">
        <v>237</v>
      </c>
      <c r="AE33" s="17">
        <v>512</v>
      </c>
      <c r="AF33" s="17">
        <v>13875</v>
      </c>
    </row>
    <row r="34" spans="1:32" x14ac:dyDescent="0.25">
      <c r="A34" s="4" t="s">
        <v>213</v>
      </c>
      <c r="B34" s="4">
        <v>1993</v>
      </c>
      <c r="C34" s="4" t="s">
        <v>91</v>
      </c>
      <c r="D34" s="4" t="s">
        <v>237</v>
      </c>
      <c r="E34" s="17">
        <v>152</v>
      </c>
      <c r="F34" s="17">
        <v>456</v>
      </c>
      <c r="G34" s="3"/>
      <c r="H34" s="4" t="s">
        <v>345</v>
      </c>
      <c r="I34" s="4">
        <v>2000</v>
      </c>
      <c r="J34" s="4" t="s">
        <v>91</v>
      </c>
      <c r="K34" s="4" t="s">
        <v>257</v>
      </c>
      <c r="L34" s="4">
        <v>57</v>
      </c>
      <c r="M34" s="4">
        <v>132</v>
      </c>
      <c r="R34" s="4" t="s">
        <v>175</v>
      </c>
      <c r="S34" s="4">
        <v>2017</v>
      </c>
      <c r="T34" s="4" t="s">
        <v>318</v>
      </c>
      <c r="U34" s="4" t="s">
        <v>156</v>
      </c>
      <c r="V34" s="4" t="s">
        <v>237</v>
      </c>
      <c r="W34" s="17">
        <v>5</v>
      </c>
      <c r="X34" s="4">
        <v>897</v>
      </c>
      <c r="Z34" s="4" t="s">
        <v>213</v>
      </c>
      <c r="AA34" s="4">
        <v>1993</v>
      </c>
      <c r="AB34" s="4" t="s">
        <v>138</v>
      </c>
      <c r="AC34" s="3" t="s">
        <v>156</v>
      </c>
      <c r="AD34" t="s">
        <v>237</v>
      </c>
      <c r="AE34" s="17">
        <v>1016</v>
      </c>
      <c r="AF34" s="17">
        <v>12241</v>
      </c>
    </row>
    <row r="35" spans="1:32" x14ac:dyDescent="0.25">
      <c r="A35" s="4" t="s">
        <v>127</v>
      </c>
      <c r="B35" s="4">
        <v>2005</v>
      </c>
      <c r="C35" s="4" t="s">
        <v>91</v>
      </c>
      <c r="D35" s="4" t="s">
        <v>237</v>
      </c>
      <c r="E35" s="4">
        <v>775</v>
      </c>
      <c r="F35" s="4">
        <v>4426</v>
      </c>
      <c r="G35" s="3"/>
      <c r="H35" s="4"/>
      <c r="I35" s="4"/>
      <c r="J35" s="4"/>
      <c r="K35" s="4"/>
      <c r="L35" s="4">
        <f>SUM(L22:L34)</f>
        <v>874</v>
      </c>
      <c r="M35" s="4">
        <f>SUM(M22:M34)</f>
        <v>4107</v>
      </c>
      <c r="R35" s="4" t="s">
        <v>175</v>
      </c>
      <c r="S35" s="4">
        <v>2017</v>
      </c>
      <c r="T35" s="4">
        <v>1</v>
      </c>
      <c r="U35" s="4" t="s">
        <v>155</v>
      </c>
      <c r="V35" s="4" t="s">
        <v>237</v>
      </c>
      <c r="W35" s="4">
        <v>38</v>
      </c>
      <c r="X35" s="4">
        <v>897</v>
      </c>
      <c r="Z35" s="4" t="s">
        <v>213</v>
      </c>
      <c r="AA35" s="4">
        <v>1993</v>
      </c>
      <c r="AB35" s="4">
        <v>1</v>
      </c>
      <c r="AC35" s="3" t="s">
        <v>155</v>
      </c>
      <c r="AD35" t="s">
        <v>237</v>
      </c>
      <c r="AE35" s="17">
        <v>105</v>
      </c>
      <c r="AF35" s="17">
        <v>456</v>
      </c>
    </row>
    <row r="36" spans="1:32" x14ac:dyDescent="0.25">
      <c r="A36" s="4" t="s">
        <v>114</v>
      </c>
      <c r="B36" s="4">
        <v>1988</v>
      </c>
      <c r="C36" s="4" t="s">
        <v>191</v>
      </c>
      <c r="D36" s="4" t="s">
        <v>237</v>
      </c>
      <c r="E36" s="4">
        <v>153</v>
      </c>
      <c r="F36" s="4">
        <v>1115</v>
      </c>
      <c r="G36" s="3"/>
      <c r="R36" s="4" t="s">
        <v>92</v>
      </c>
      <c r="S36" s="4">
        <v>2015</v>
      </c>
      <c r="T36" s="4">
        <v>1</v>
      </c>
      <c r="U36" s="4" t="s">
        <v>155</v>
      </c>
      <c r="V36" s="4" t="s">
        <v>237</v>
      </c>
      <c r="W36" s="17">
        <v>1219</v>
      </c>
      <c r="X36" s="17">
        <v>5166</v>
      </c>
      <c r="Y36" s="4"/>
      <c r="Z36" s="4" t="s">
        <v>213</v>
      </c>
      <c r="AA36" s="4">
        <v>1993</v>
      </c>
      <c r="AB36" s="4">
        <v>2</v>
      </c>
      <c r="AC36" s="3" t="s">
        <v>156</v>
      </c>
      <c r="AD36" t="s">
        <v>237</v>
      </c>
      <c r="AE36" s="17">
        <v>47</v>
      </c>
      <c r="AF36" s="17">
        <v>456</v>
      </c>
    </row>
    <row r="37" spans="1:32" x14ac:dyDescent="0.25">
      <c r="A37" s="4" t="s">
        <v>134</v>
      </c>
      <c r="B37" s="4">
        <v>1992</v>
      </c>
      <c r="C37" s="4" t="s">
        <v>91</v>
      </c>
      <c r="D37" s="4" t="s">
        <v>237</v>
      </c>
      <c r="E37" s="4">
        <v>167</v>
      </c>
      <c r="F37" s="4">
        <v>706</v>
      </c>
      <c r="G37" s="3"/>
      <c r="R37" s="4" t="s">
        <v>92</v>
      </c>
      <c r="S37" s="4">
        <v>2015</v>
      </c>
      <c r="T37" s="4">
        <v>2</v>
      </c>
      <c r="U37" s="4" t="s">
        <v>156</v>
      </c>
      <c r="V37" s="4" t="s">
        <v>237</v>
      </c>
      <c r="W37" s="17">
        <v>146</v>
      </c>
      <c r="X37" s="17">
        <v>5166</v>
      </c>
      <c r="Z37" s="4" t="s">
        <v>127</v>
      </c>
      <c r="AA37" s="4">
        <v>2005</v>
      </c>
      <c r="AB37" s="4">
        <v>1</v>
      </c>
      <c r="AC37" s="4" t="s">
        <v>155</v>
      </c>
      <c r="AD37" s="4" t="s">
        <v>237</v>
      </c>
      <c r="AE37" s="4">
        <v>691</v>
      </c>
      <c r="AF37" s="4">
        <v>4426</v>
      </c>
    </row>
    <row r="38" spans="1:32" x14ac:dyDescent="0.25">
      <c r="A38" s="4" t="s">
        <v>360</v>
      </c>
      <c r="B38" s="4">
        <v>2018</v>
      </c>
      <c r="C38" s="4" t="s">
        <v>91</v>
      </c>
      <c r="D38" s="4" t="s">
        <v>237</v>
      </c>
      <c r="E38" s="4">
        <v>121</v>
      </c>
      <c r="F38" s="4">
        <v>2015</v>
      </c>
      <c r="G38" s="3"/>
      <c r="R38" s="4" t="s">
        <v>92</v>
      </c>
      <c r="S38" s="4">
        <v>2015</v>
      </c>
      <c r="T38" s="4" t="s">
        <v>319</v>
      </c>
      <c r="U38" s="4" t="s">
        <v>156</v>
      </c>
      <c r="V38" s="4" t="s">
        <v>237</v>
      </c>
      <c r="W38" s="17">
        <v>20</v>
      </c>
      <c r="X38" s="17">
        <v>5166</v>
      </c>
      <c r="Y38" s="4"/>
      <c r="Z38" s="4" t="s">
        <v>127</v>
      </c>
      <c r="AA38" s="4">
        <v>2005</v>
      </c>
      <c r="AB38" s="4" t="s">
        <v>318</v>
      </c>
      <c r="AC38" s="4" t="s">
        <v>156</v>
      </c>
      <c r="AD38" s="4" t="s">
        <v>237</v>
      </c>
      <c r="AE38" s="4">
        <v>84</v>
      </c>
      <c r="AF38" s="4">
        <v>4426</v>
      </c>
    </row>
    <row r="39" spans="1:32" x14ac:dyDescent="0.25">
      <c r="A39" t="s">
        <v>133</v>
      </c>
      <c r="B39">
        <v>2006</v>
      </c>
      <c r="C39" s="4" t="s">
        <v>254</v>
      </c>
      <c r="D39" t="s">
        <v>237</v>
      </c>
      <c r="E39">
        <v>13717</v>
      </c>
      <c r="F39">
        <v>57853</v>
      </c>
      <c r="G39" s="3"/>
      <c r="R39" s="4" t="s">
        <v>315</v>
      </c>
      <c r="S39" s="4">
        <v>2017</v>
      </c>
      <c r="T39" s="4">
        <v>1</v>
      </c>
      <c r="U39" s="4" t="s">
        <v>155</v>
      </c>
      <c r="V39" s="4" t="s">
        <v>237</v>
      </c>
      <c r="W39" s="4">
        <v>124</v>
      </c>
      <c r="X39" s="4">
        <v>1000</v>
      </c>
      <c r="Y39" s="4"/>
      <c r="Z39" s="4" t="s">
        <v>114</v>
      </c>
      <c r="AA39" s="4">
        <v>1988</v>
      </c>
      <c r="AB39" s="4">
        <v>1</v>
      </c>
      <c r="AC39" s="4" t="s">
        <v>155</v>
      </c>
      <c r="AD39" s="4" t="s">
        <v>237</v>
      </c>
      <c r="AE39" s="4">
        <v>135</v>
      </c>
      <c r="AF39" s="4">
        <v>1115</v>
      </c>
    </row>
    <row r="40" spans="1:32" x14ac:dyDescent="0.25">
      <c r="A40" t="s">
        <v>129</v>
      </c>
      <c r="B40">
        <v>1997</v>
      </c>
      <c r="C40" t="s">
        <v>91</v>
      </c>
      <c r="D40" t="s">
        <v>237</v>
      </c>
      <c r="E40">
        <v>2699</v>
      </c>
      <c r="F40">
        <v>10509</v>
      </c>
      <c r="G40" s="3"/>
      <c r="R40" s="4" t="s">
        <v>315</v>
      </c>
      <c r="S40" s="4">
        <v>2017</v>
      </c>
      <c r="T40" s="4">
        <v>2</v>
      </c>
      <c r="U40" s="4" t="s">
        <v>156</v>
      </c>
      <c r="V40" s="4" t="s">
        <v>237</v>
      </c>
      <c r="W40" s="4">
        <v>78</v>
      </c>
      <c r="X40" s="4">
        <v>1000</v>
      </c>
      <c r="Z40" s="4" t="s">
        <v>114</v>
      </c>
      <c r="AA40" s="4">
        <v>1988</v>
      </c>
      <c r="AB40" s="4">
        <v>2</v>
      </c>
      <c r="AC40" s="4" t="s">
        <v>156</v>
      </c>
      <c r="AD40" s="4" t="s">
        <v>237</v>
      </c>
      <c r="AE40" s="4">
        <v>18</v>
      </c>
      <c r="AF40" s="4">
        <v>1115</v>
      </c>
    </row>
    <row r="41" spans="1:32" x14ac:dyDescent="0.25">
      <c r="A41" t="s">
        <v>136</v>
      </c>
      <c r="B41">
        <v>2005</v>
      </c>
      <c r="C41" t="s">
        <v>91</v>
      </c>
      <c r="D41" t="s">
        <v>237</v>
      </c>
      <c r="E41">
        <v>52</v>
      </c>
      <c r="F41">
        <v>289</v>
      </c>
      <c r="G41" s="3"/>
      <c r="R41" s="4" t="s">
        <v>315</v>
      </c>
      <c r="S41" s="4">
        <v>2017</v>
      </c>
      <c r="T41" s="4">
        <v>3</v>
      </c>
      <c r="U41" s="4" t="s">
        <v>156</v>
      </c>
      <c r="V41" s="4" t="s">
        <v>237</v>
      </c>
      <c r="W41" s="4">
        <v>15</v>
      </c>
      <c r="X41" s="4">
        <v>1000</v>
      </c>
      <c r="Z41" s="4" t="s">
        <v>134</v>
      </c>
      <c r="AA41" s="4">
        <v>1992</v>
      </c>
      <c r="AB41" s="4">
        <v>1</v>
      </c>
      <c r="AC41" s="4" t="s">
        <v>155</v>
      </c>
      <c r="AD41" s="4" t="s">
        <v>237</v>
      </c>
      <c r="AE41" s="4">
        <v>153</v>
      </c>
      <c r="AF41" s="4">
        <v>706</v>
      </c>
    </row>
    <row r="42" spans="1:32" x14ac:dyDescent="0.25">
      <c r="A42" s="4" t="s">
        <v>218</v>
      </c>
      <c r="B42" s="4">
        <v>1968</v>
      </c>
      <c r="C42" t="s">
        <v>91</v>
      </c>
      <c r="D42" t="s">
        <v>237</v>
      </c>
      <c r="E42" s="4">
        <v>431</v>
      </c>
      <c r="F42" s="4">
        <v>1980</v>
      </c>
      <c r="G42" s="3"/>
      <c r="R42" s="4" t="s">
        <v>315</v>
      </c>
      <c r="S42" s="4">
        <v>2017</v>
      </c>
      <c r="T42" s="4">
        <v>4</v>
      </c>
      <c r="U42" s="4" t="s">
        <v>156</v>
      </c>
      <c r="V42" s="4" t="s">
        <v>237</v>
      </c>
      <c r="W42" s="4">
        <v>2</v>
      </c>
      <c r="X42" s="4">
        <v>1000</v>
      </c>
      <c r="Z42" s="4" t="s">
        <v>134</v>
      </c>
      <c r="AA42" s="4">
        <v>1992</v>
      </c>
      <c r="AB42" s="4">
        <v>2</v>
      </c>
      <c r="AC42" s="4" t="s">
        <v>156</v>
      </c>
      <c r="AD42" s="4" t="s">
        <v>237</v>
      </c>
      <c r="AE42" s="4">
        <v>14</v>
      </c>
      <c r="AF42" s="4">
        <v>706</v>
      </c>
    </row>
    <row r="43" spans="1:32" s="4" customFormat="1" x14ac:dyDescent="0.25">
      <c r="A43" t="s">
        <v>109</v>
      </c>
      <c r="B43">
        <v>2000</v>
      </c>
      <c r="C43" t="s">
        <v>91</v>
      </c>
      <c r="D43" t="s">
        <v>237</v>
      </c>
      <c r="E43">
        <v>64</v>
      </c>
      <c r="F43">
        <v>180</v>
      </c>
      <c r="G43" s="3"/>
      <c r="R43" t="s">
        <v>315</v>
      </c>
      <c r="S43">
        <v>2017</v>
      </c>
      <c r="T43">
        <v>5</v>
      </c>
      <c r="U43" s="3" t="s">
        <v>156</v>
      </c>
      <c r="V43" t="s">
        <v>237</v>
      </c>
      <c r="W43">
        <v>1</v>
      </c>
      <c r="X43">
        <v>1000</v>
      </c>
      <c r="Y43"/>
      <c r="Z43" s="4" t="s">
        <v>230</v>
      </c>
      <c r="AA43" s="4">
        <v>2018</v>
      </c>
      <c r="AB43" s="4">
        <v>1</v>
      </c>
      <c r="AC43" s="4" t="s">
        <v>155</v>
      </c>
      <c r="AD43" s="4" t="s">
        <v>237</v>
      </c>
      <c r="AE43" s="4">
        <v>61</v>
      </c>
      <c r="AF43" s="4">
        <v>2015</v>
      </c>
    </row>
    <row r="44" spans="1:32" s="4" customFormat="1" x14ac:dyDescent="0.25">
      <c r="A44" s="60" t="s">
        <v>116</v>
      </c>
      <c r="B44" s="60">
        <v>1981</v>
      </c>
      <c r="C44" s="60" t="s">
        <v>91</v>
      </c>
      <c r="D44" s="60" t="s">
        <v>237</v>
      </c>
      <c r="E44" s="60">
        <v>130</v>
      </c>
      <c r="F44" s="60">
        <v>536</v>
      </c>
      <c r="G44" s="3"/>
      <c r="R44" s="4" t="s">
        <v>212</v>
      </c>
      <c r="S44" s="4">
        <v>1995</v>
      </c>
      <c r="T44" s="4">
        <v>1</v>
      </c>
      <c r="U44" s="3" t="s">
        <v>155</v>
      </c>
      <c r="V44" t="s">
        <v>237</v>
      </c>
      <c r="W44" s="17">
        <v>2191</v>
      </c>
      <c r="X44" s="17">
        <v>8565</v>
      </c>
      <c r="Y44"/>
      <c r="Z44" s="4" t="s">
        <v>230</v>
      </c>
      <c r="AA44" s="4">
        <v>2018</v>
      </c>
      <c r="AB44" s="4" t="s">
        <v>318</v>
      </c>
      <c r="AC44" s="4" t="s">
        <v>156</v>
      </c>
      <c r="AD44" s="4" t="s">
        <v>237</v>
      </c>
      <c r="AE44" s="4">
        <v>53</v>
      </c>
      <c r="AF44" s="4">
        <v>2015</v>
      </c>
    </row>
    <row r="45" spans="1:32" x14ac:dyDescent="0.25">
      <c r="A45" t="s">
        <v>132</v>
      </c>
      <c r="B45">
        <v>2005</v>
      </c>
      <c r="C45" t="s">
        <v>91</v>
      </c>
      <c r="D45" t="s">
        <v>237</v>
      </c>
      <c r="E45">
        <v>3226</v>
      </c>
      <c r="F45">
        <v>9574</v>
      </c>
      <c r="G45" s="3"/>
      <c r="R45" s="4" t="s">
        <v>212</v>
      </c>
      <c r="S45" s="4">
        <v>1995</v>
      </c>
      <c r="T45" s="4" t="s">
        <v>318</v>
      </c>
      <c r="U45" s="3" t="s">
        <v>156</v>
      </c>
      <c r="V45" t="s">
        <v>237</v>
      </c>
      <c r="W45" s="17">
        <v>326</v>
      </c>
      <c r="X45" s="17">
        <v>8565</v>
      </c>
      <c r="Z45" s="4" t="s">
        <v>136</v>
      </c>
      <c r="AA45" s="4">
        <v>2005</v>
      </c>
      <c r="AB45" s="4">
        <v>1</v>
      </c>
      <c r="AC45" s="4" t="s">
        <v>155</v>
      </c>
      <c r="AD45" s="4" t="s">
        <v>237</v>
      </c>
      <c r="AE45" s="4">
        <v>42</v>
      </c>
      <c r="AF45" s="4">
        <v>289</v>
      </c>
    </row>
    <row r="46" spans="1:32" x14ac:dyDescent="0.25">
      <c r="A46" t="s">
        <v>130</v>
      </c>
      <c r="B46">
        <v>2006</v>
      </c>
      <c r="C46" t="s">
        <v>91</v>
      </c>
      <c r="D46" t="s">
        <v>112</v>
      </c>
      <c r="E46">
        <v>24392</v>
      </c>
      <c r="F46">
        <v>166318</v>
      </c>
      <c r="G46" s="3"/>
      <c r="R46" s="4" t="s">
        <v>212</v>
      </c>
      <c r="S46" s="4">
        <v>1997</v>
      </c>
      <c r="T46" s="4">
        <v>1</v>
      </c>
      <c r="U46" s="3" t="s">
        <v>155</v>
      </c>
      <c r="V46" t="s">
        <v>237</v>
      </c>
      <c r="W46" s="17">
        <v>3246</v>
      </c>
      <c r="X46" s="17">
        <v>13875</v>
      </c>
      <c r="Z46" s="4" t="s">
        <v>136</v>
      </c>
      <c r="AA46" s="4">
        <v>2005</v>
      </c>
      <c r="AB46" s="4">
        <v>2</v>
      </c>
      <c r="AC46" s="4" t="s">
        <v>156</v>
      </c>
      <c r="AD46" s="4" t="s">
        <v>237</v>
      </c>
      <c r="AE46" s="4">
        <v>10</v>
      </c>
      <c r="AF46" s="4">
        <v>289</v>
      </c>
    </row>
    <row r="47" spans="1:32" x14ac:dyDescent="0.25">
      <c r="A47" t="s">
        <v>220</v>
      </c>
      <c r="B47">
        <v>2007</v>
      </c>
      <c r="C47" t="s">
        <v>91</v>
      </c>
      <c r="D47" t="s">
        <v>112</v>
      </c>
      <c r="E47">
        <v>117</v>
      </c>
      <c r="F47">
        <v>512</v>
      </c>
      <c r="G47" s="3"/>
      <c r="R47" s="4" t="s">
        <v>212</v>
      </c>
      <c r="S47" s="4">
        <v>1997</v>
      </c>
      <c r="T47" s="4" t="s">
        <v>318</v>
      </c>
      <c r="U47" s="3" t="s">
        <v>156</v>
      </c>
      <c r="V47" t="s">
        <v>237</v>
      </c>
      <c r="W47" s="17">
        <v>512</v>
      </c>
      <c r="X47" s="17">
        <v>13875</v>
      </c>
      <c r="Z47" s="4" t="s">
        <v>218</v>
      </c>
      <c r="AA47" s="4">
        <v>1969</v>
      </c>
      <c r="AB47" s="4">
        <v>1</v>
      </c>
      <c r="AC47" s="4" t="s">
        <v>155</v>
      </c>
      <c r="AD47" s="4" t="s">
        <v>237</v>
      </c>
      <c r="AE47" s="4">
        <v>354</v>
      </c>
      <c r="AF47" s="4">
        <v>1980</v>
      </c>
    </row>
    <row r="48" spans="1:32" x14ac:dyDescent="0.25">
      <c r="A48" t="s">
        <v>316</v>
      </c>
      <c r="B48">
        <v>2008</v>
      </c>
      <c r="C48" t="s">
        <v>91</v>
      </c>
      <c r="D48" t="s">
        <v>112</v>
      </c>
      <c r="E48">
        <v>65</v>
      </c>
      <c r="F48">
        <v>350</v>
      </c>
      <c r="R48" s="4" t="s">
        <v>213</v>
      </c>
      <c r="S48" s="4">
        <v>1993</v>
      </c>
      <c r="T48" s="4" t="s">
        <v>138</v>
      </c>
      <c r="U48" s="3" t="s">
        <v>156</v>
      </c>
      <c r="V48" t="s">
        <v>237</v>
      </c>
      <c r="W48" s="17">
        <v>1016</v>
      </c>
      <c r="X48" s="17">
        <v>12241</v>
      </c>
      <c r="Z48" s="4" t="s">
        <v>218</v>
      </c>
      <c r="AA48" s="4">
        <v>1970</v>
      </c>
      <c r="AB48" s="4">
        <v>2</v>
      </c>
      <c r="AC48" s="4" t="s">
        <v>156</v>
      </c>
      <c r="AD48" s="4" t="s">
        <v>237</v>
      </c>
      <c r="AE48" s="4">
        <v>77</v>
      </c>
      <c r="AF48" s="4">
        <v>1980</v>
      </c>
    </row>
    <row r="49" spans="1:32" x14ac:dyDescent="0.25">
      <c r="A49" t="s">
        <v>126</v>
      </c>
      <c r="B49">
        <v>1965</v>
      </c>
      <c r="C49" t="s">
        <v>91</v>
      </c>
      <c r="D49" t="s">
        <v>112</v>
      </c>
      <c r="E49">
        <v>1278</v>
      </c>
      <c r="F49">
        <v>3917</v>
      </c>
      <c r="G49" s="3"/>
      <c r="R49" s="4" t="s">
        <v>213</v>
      </c>
      <c r="S49" s="4">
        <v>1993</v>
      </c>
      <c r="T49" s="4">
        <v>1</v>
      </c>
      <c r="U49" s="3" t="s">
        <v>155</v>
      </c>
      <c r="V49" t="s">
        <v>237</v>
      </c>
      <c r="W49" s="17">
        <v>105</v>
      </c>
      <c r="X49" s="17">
        <v>456</v>
      </c>
      <c r="Z49" s="4" t="s">
        <v>132</v>
      </c>
      <c r="AA49" s="4">
        <v>2005</v>
      </c>
      <c r="AB49" s="4">
        <v>1</v>
      </c>
      <c r="AC49" s="4" t="s">
        <v>155</v>
      </c>
      <c r="AD49" s="4" t="s">
        <v>237</v>
      </c>
      <c r="AE49" s="4">
        <f>3226-555</f>
        <v>2671</v>
      </c>
      <c r="AF49" s="4">
        <v>9574</v>
      </c>
    </row>
    <row r="50" spans="1:32" x14ac:dyDescent="0.25">
      <c r="A50" t="s">
        <v>124</v>
      </c>
      <c r="B50">
        <v>1996</v>
      </c>
      <c r="C50" t="s">
        <v>91</v>
      </c>
      <c r="D50" t="s">
        <v>112</v>
      </c>
      <c r="E50" s="4">
        <v>63</v>
      </c>
      <c r="F50">
        <v>200</v>
      </c>
      <c r="G50" s="3"/>
      <c r="R50" s="4" t="s">
        <v>213</v>
      </c>
      <c r="S50" s="4">
        <v>1993</v>
      </c>
      <c r="T50" s="4">
        <v>2</v>
      </c>
      <c r="U50" s="3" t="s">
        <v>156</v>
      </c>
      <c r="V50" t="s">
        <v>237</v>
      </c>
      <c r="W50" s="17">
        <v>27</v>
      </c>
      <c r="X50" s="17">
        <v>456</v>
      </c>
      <c r="Z50" s="4" t="s">
        <v>132</v>
      </c>
      <c r="AA50" s="4">
        <v>2005</v>
      </c>
      <c r="AB50" s="4" t="s">
        <v>138</v>
      </c>
      <c r="AC50" s="4" t="s">
        <v>156</v>
      </c>
      <c r="AD50" s="4" t="s">
        <v>237</v>
      </c>
      <c r="AE50" s="4">
        <v>555</v>
      </c>
      <c r="AF50" s="4">
        <v>9574</v>
      </c>
    </row>
    <row r="51" spans="1:32" x14ac:dyDescent="0.25">
      <c r="A51" t="s">
        <v>222</v>
      </c>
      <c r="B51">
        <v>2013</v>
      </c>
      <c r="C51" t="s">
        <v>91</v>
      </c>
      <c r="D51" t="s">
        <v>112</v>
      </c>
      <c r="E51">
        <v>289</v>
      </c>
      <c r="F51">
        <f>4219+289</f>
        <v>4508</v>
      </c>
      <c r="G51" s="3"/>
      <c r="R51" s="4" t="s">
        <v>213</v>
      </c>
      <c r="S51" s="4">
        <v>1993</v>
      </c>
      <c r="T51" s="4" t="s">
        <v>319</v>
      </c>
      <c r="U51" s="4" t="s">
        <v>156</v>
      </c>
      <c r="V51" s="4" t="s">
        <v>237</v>
      </c>
      <c r="W51" s="17">
        <v>20</v>
      </c>
      <c r="X51" s="17">
        <v>456</v>
      </c>
      <c r="Z51" s="4" t="s">
        <v>220</v>
      </c>
      <c r="AA51" s="4">
        <v>2007</v>
      </c>
      <c r="AB51" s="4">
        <v>1</v>
      </c>
      <c r="AC51" s="4" t="s">
        <v>155</v>
      </c>
      <c r="AD51" s="4" t="s">
        <v>112</v>
      </c>
      <c r="AE51" s="4">
        <v>97</v>
      </c>
      <c r="AF51" s="4">
        <v>512</v>
      </c>
    </row>
    <row r="52" spans="1:32" x14ac:dyDescent="0.25">
      <c r="A52" t="s">
        <v>224</v>
      </c>
      <c r="B52">
        <v>1992</v>
      </c>
      <c r="C52" t="s">
        <v>91</v>
      </c>
      <c r="D52" t="s">
        <v>112</v>
      </c>
      <c r="E52">
        <v>87</v>
      </c>
      <c r="F52">
        <v>520</v>
      </c>
      <c r="R52" s="4" t="s">
        <v>127</v>
      </c>
      <c r="S52" s="4">
        <v>2005</v>
      </c>
      <c r="T52" s="4">
        <v>1</v>
      </c>
      <c r="U52" s="4" t="s">
        <v>155</v>
      </c>
      <c r="V52" s="4" t="s">
        <v>237</v>
      </c>
      <c r="W52" s="4">
        <v>691</v>
      </c>
      <c r="X52" s="4">
        <v>4426</v>
      </c>
      <c r="Z52" s="4" t="s">
        <v>220</v>
      </c>
      <c r="AA52" s="4">
        <v>2007</v>
      </c>
      <c r="AB52" s="4">
        <v>2</v>
      </c>
      <c r="AC52" s="4" t="s">
        <v>156</v>
      </c>
      <c r="AD52" s="4" t="s">
        <v>112</v>
      </c>
      <c r="AE52" s="4">
        <v>20</v>
      </c>
      <c r="AF52" s="4">
        <v>512</v>
      </c>
    </row>
    <row r="53" spans="1:32" x14ac:dyDescent="0.25">
      <c r="A53" t="s">
        <v>225</v>
      </c>
      <c r="B53">
        <v>2016</v>
      </c>
      <c r="C53" t="s">
        <v>91</v>
      </c>
      <c r="D53" t="s">
        <v>112</v>
      </c>
      <c r="E53">
        <v>697</v>
      </c>
      <c r="F53">
        <v>1749</v>
      </c>
      <c r="R53" s="4" t="s">
        <v>127</v>
      </c>
      <c r="S53" s="4">
        <v>2005</v>
      </c>
      <c r="T53" s="4" t="s">
        <v>318</v>
      </c>
      <c r="U53" s="4" t="s">
        <v>156</v>
      </c>
      <c r="V53" s="4" t="s">
        <v>237</v>
      </c>
      <c r="W53" s="4">
        <v>84</v>
      </c>
      <c r="X53" s="4">
        <v>4426</v>
      </c>
      <c r="Z53" s="4" t="s">
        <v>316</v>
      </c>
      <c r="AA53" s="4">
        <v>2008</v>
      </c>
      <c r="AB53" s="4">
        <v>1</v>
      </c>
      <c r="AC53" s="4" t="s">
        <v>155</v>
      </c>
      <c r="AD53" s="4" t="s">
        <v>112</v>
      </c>
      <c r="AE53" s="4">
        <v>61</v>
      </c>
      <c r="AF53" s="4">
        <v>350</v>
      </c>
    </row>
    <row r="54" spans="1:32" x14ac:dyDescent="0.25">
      <c r="A54" t="s">
        <v>135</v>
      </c>
      <c r="B54">
        <v>2015</v>
      </c>
      <c r="C54" t="s">
        <v>91</v>
      </c>
      <c r="D54" t="s">
        <v>237</v>
      </c>
      <c r="E54">
        <v>245</v>
      </c>
      <c r="F54">
        <v>1060</v>
      </c>
      <c r="R54" s="4" t="s">
        <v>114</v>
      </c>
      <c r="S54" s="4">
        <v>1988</v>
      </c>
      <c r="T54" s="4">
        <v>1</v>
      </c>
      <c r="U54" s="4" t="s">
        <v>155</v>
      </c>
      <c r="V54" s="4" t="s">
        <v>237</v>
      </c>
      <c r="W54" s="4">
        <v>135</v>
      </c>
      <c r="X54" s="4">
        <v>1115</v>
      </c>
      <c r="Z54" s="4" t="s">
        <v>316</v>
      </c>
      <c r="AA54" s="4">
        <v>2008</v>
      </c>
      <c r="AB54" s="4">
        <v>2</v>
      </c>
      <c r="AC54" s="4" t="s">
        <v>156</v>
      </c>
      <c r="AD54" s="4" t="s">
        <v>112</v>
      </c>
      <c r="AE54" s="4">
        <v>7</v>
      </c>
      <c r="AF54" s="4">
        <v>350</v>
      </c>
    </row>
    <row r="55" spans="1:32" x14ac:dyDescent="0.25">
      <c r="A55" t="s">
        <v>231</v>
      </c>
      <c r="B55">
        <v>2013</v>
      </c>
      <c r="C55" t="s">
        <v>91</v>
      </c>
      <c r="D55" t="s">
        <v>237</v>
      </c>
      <c r="E55">
        <v>205</v>
      </c>
      <c r="F55">
        <v>1776</v>
      </c>
      <c r="R55" s="4" t="s">
        <v>114</v>
      </c>
      <c r="S55" s="4">
        <v>1988</v>
      </c>
      <c r="T55" s="4">
        <v>2</v>
      </c>
      <c r="U55" s="4" t="s">
        <v>156</v>
      </c>
      <c r="V55" s="4" t="s">
        <v>237</v>
      </c>
      <c r="W55" s="4">
        <v>14</v>
      </c>
      <c r="X55" s="4">
        <v>1115</v>
      </c>
      <c r="Z55" s="4" t="s">
        <v>104</v>
      </c>
      <c r="AA55" s="4">
        <v>2012</v>
      </c>
      <c r="AB55" s="4" t="s">
        <v>138</v>
      </c>
      <c r="AC55" s="4" t="s">
        <v>156</v>
      </c>
      <c r="AD55" s="4" t="s">
        <v>112</v>
      </c>
      <c r="AE55" s="4">
        <v>468</v>
      </c>
      <c r="AF55" s="4">
        <v>10453</v>
      </c>
    </row>
    <row r="56" spans="1:32" x14ac:dyDescent="0.25">
      <c r="F56">
        <f>SUM(F3:F55)</f>
        <v>816872</v>
      </c>
      <c r="R56" s="4" t="s">
        <v>114</v>
      </c>
      <c r="S56" s="4">
        <v>1988</v>
      </c>
      <c r="T56" s="4">
        <v>3</v>
      </c>
      <c r="U56" s="4" t="s">
        <v>156</v>
      </c>
      <c r="V56" s="4" t="s">
        <v>237</v>
      </c>
      <c r="W56" s="4">
        <v>4</v>
      </c>
      <c r="X56" s="4">
        <v>1115</v>
      </c>
      <c r="Z56" s="4" t="s">
        <v>222</v>
      </c>
      <c r="AA56" s="4">
        <v>2013</v>
      </c>
      <c r="AB56" s="4">
        <v>1</v>
      </c>
      <c r="AC56" s="4" t="s">
        <v>155</v>
      </c>
      <c r="AD56" s="4" t="s">
        <v>112</v>
      </c>
      <c r="AE56" s="4">
        <v>151</v>
      </c>
      <c r="AF56" s="4">
        <v>4219</v>
      </c>
    </row>
    <row r="57" spans="1:32" x14ac:dyDescent="0.25">
      <c r="G57" s="3"/>
      <c r="R57" s="4" t="s">
        <v>134</v>
      </c>
      <c r="S57" s="4">
        <v>1992</v>
      </c>
      <c r="T57" s="4">
        <v>1</v>
      </c>
      <c r="U57" s="4" t="s">
        <v>155</v>
      </c>
      <c r="V57" s="4" t="s">
        <v>237</v>
      </c>
      <c r="W57" s="4">
        <v>153</v>
      </c>
      <c r="X57" s="4">
        <v>706</v>
      </c>
      <c r="Z57" s="4" t="s">
        <v>222</v>
      </c>
      <c r="AA57" s="4">
        <v>2013</v>
      </c>
      <c r="AB57" t="s">
        <v>318</v>
      </c>
      <c r="AC57" s="4" t="s">
        <v>156</v>
      </c>
      <c r="AD57" s="4" t="s">
        <v>112</v>
      </c>
      <c r="AE57" s="4">
        <v>138</v>
      </c>
      <c r="AF57" s="4">
        <v>4219</v>
      </c>
    </row>
    <row r="58" spans="1:32" x14ac:dyDescent="0.25">
      <c r="G58" s="3"/>
      <c r="R58" s="4" t="s">
        <v>134</v>
      </c>
      <c r="S58" s="4">
        <v>1992</v>
      </c>
      <c r="T58" s="4">
        <v>2</v>
      </c>
      <c r="U58" s="4" t="s">
        <v>156</v>
      </c>
      <c r="V58" s="4" t="s">
        <v>237</v>
      </c>
      <c r="W58" s="4">
        <v>12</v>
      </c>
      <c r="X58" s="4">
        <v>706</v>
      </c>
      <c r="Z58" s="4" t="s">
        <v>135</v>
      </c>
      <c r="AA58" s="4">
        <v>2015</v>
      </c>
      <c r="AB58" s="4">
        <v>1</v>
      </c>
      <c r="AC58" s="4" t="s">
        <v>155</v>
      </c>
      <c r="AD58" s="4" t="s">
        <v>237</v>
      </c>
      <c r="AE58" s="4">
        <v>133</v>
      </c>
      <c r="AF58" s="4">
        <v>1060</v>
      </c>
    </row>
    <row r="59" spans="1:32" x14ac:dyDescent="0.25">
      <c r="R59" s="4" t="s">
        <v>134</v>
      </c>
      <c r="S59" s="4">
        <v>1992</v>
      </c>
      <c r="T59" s="4">
        <v>3</v>
      </c>
      <c r="U59" s="4" t="s">
        <v>156</v>
      </c>
      <c r="V59" s="4" t="s">
        <v>237</v>
      </c>
      <c r="W59" s="4">
        <v>2</v>
      </c>
      <c r="X59" s="4">
        <v>706</v>
      </c>
      <c r="Z59" s="4" t="s">
        <v>135</v>
      </c>
      <c r="AA59" s="4">
        <v>2015</v>
      </c>
      <c r="AB59" s="4" t="s">
        <v>318</v>
      </c>
      <c r="AC59" s="4" t="s">
        <v>156</v>
      </c>
      <c r="AD59" s="4" t="s">
        <v>237</v>
      </c>
      <c r="AE59" s="4">
        <v>112</v>
      </c>
      <c r="AF59" s="4">
        <v>1060</v>
      </c>
    </row>
    <row r="60" spans="1:32" x14ac:dyDescent="0.25">
      <c r="R60" s="4" t="s">
        <v>360</v>
      </c>
      <c r="S60" s="4">
        <v>2018</v>
      </c>
      <c r="T60" s="4">
        <v>1</v>
      </c>
      <c r="U60" s="4" t="s">
        <v>155</v>
      </c>
      <c r="V60" s="4" t="s">
        <v>237</v>
      </c>
      <c r="W60" s="4">
        <v>61</v>
      </c>
      <c r="X60" s="4">
        <v>2015</v>
      </c>
      <c r="Z60" s="4" t="s">
        <v>231</v>
      </c>
      <c r="AA60" s="4">
        <v>2013</v>
      </c>
      <c r="AB60" s="4">
        <v>1</v>
      </c>
      <c r="AC60" s="4" t="s">
        <v>155</v>
      </c>
      <c r="AD60" s="4" t="s">
        <v>237</v>
      </c>
      <c r="AE60" s="4">
        <v>164</v>
      </c>
      <c r="AF60" s="4">
        <v>1776</v>
      </c>
    </row>
    <row r="61" spans="1:32" x14ac:dyDescent="0.25">
      <c r="R61" s="4" t="s">
        <v>360</v>
      </c>
      <c r="S61" s="4">
        <v>2018</v>
      </c>
      <c r="T61" s="4" t="s">
        <v>318</v>
      </c>
      <c r="U61" s="4" t="s">
        <v>156</v>
      </c>
      <c r="V61" s="4" t="s">
        <v>237</v>
      </c>
      <c r="W61" s="4">
        <v>53</v>
      </c>
      <c r="X61" s="4">
        <v>2015</v>
      </c>
      <c r="Z61" s="4" t="s">
        <v>231</v>
      </c>
      <c r="AA61" s="4">
        <v>2013</v>
      </c>
      <c r="AB61" s="4">
        <v>2</v>
      </c>
      <c r="AC61" s="4" t="s">
        <v>156</v>
      </c>
      <c r="AD61" s="4" t="s">
        <v>237</v>
      </c>
      <c r="AE61" s="4">
        <v>41</v>
      </c>
      <c r="AF61" s="4">
        <v>1776</v>
      </c>
    </row>
    <row r="62" spans="1:32" x14ac:dyDescent="0.25">
      <c r="R62" s="4" t="s">
        <v>136</v>
      </c>
      <c r="S62" s="4">
        <v>2005</v>
      </c>
      <c r="T62" s="4">
        <v>1</v>
      </c>
      <c r="U62" s="4" t="s">
        <v>155</v>
      </c>
      <c r="V62" s="4" t="s">
        <v>237</v>
      </c>
      <c r="W62" s="4">
        <v>42</v>
      </c>
      <c r="X62" s="4">
        <v>289</v>
      </c>
    </row>
    <row r="63" spans="1:32" x14ac:dyDescent="0.25">
      <c r="R63" s="4" t="s">
        <v>136</v>
      </c>
      <c r="S63" s="4">
        <v>2005</v>
      </c>
      <c r="T63" s="4">
        <v>2</v>
      </c>
      <c r="U63" s="4" t="s">
        <v>156</v>
      </c>
      <c r="V63" s="4" t="s">
        <v>237</v>
      </c>
      <c r="W63" s="4">
        <v>8</v>
      </c>
      <c r="X63" s="4">
        <v>289</v>
      </c>
    </row>
    <row r="64" spans="1:32" x14ac:dyDescent="0.25">
      <c r="E64" s="2"/>
      <c r="F64" s="2"/>
      <c r="R64" s="4" t="s">
        <v>136</v>
      </c>
      <c r="S64" s="4">
        <v>2005</v>
      </c>
      <c r="T64" s="4">
        <v>3</v>
      </c>
      <c r="U64" s="4" t="s">
        <v>156</v>
      </c>
      <c r="V64" s="4" t="s">
        <v>237</v>
      </c>
      <c r="W64" s="4">
        <v>2</v>
      </c>
      <c r="X64" s="4">
        <v>289</v>
      </c>
      <c r="Z64" s="4"/>
      <c r="AA64" s="4"/>
      <c r="AB64" s="4"/>
      <c r="AC64" s="4"/>
      <c r="AD64" s="4"/>
      <c r="AE64" s="4"/>
      <c r="AF64" s="4"/>
    </row>
    <row r="65" spans="1:32" x14ac:dyDescent="0.25">
      <c r="A65" s="4" t="s">
        <v>38</v>
      </c>
      <c r="B65" s="4">
        <v>2011</v>
      </c>
      <c r="C65" s="4" t="s">
        <v>245</v>
      </c>
      <c r="D65" s="4" t="s">
        <v>237</v>
      </c>
      <c r="E65" s="4">
        <v>46</v>
      </c>
      <c r="F65" s="4">
        <v>1646</v>
      </c>
      <c r="H65" t="s">
        <v>460</v>
      </c>
      <c r="J65">
        <f>SUM(F65,F68,F69,F71,F74,F76,F79,F81)</f>
        <v>228199</v>
      </c>
      <c r="R65" s="4" t="s">
        <v>218</v>
      </c>
      <c r="S65" s="4">
        <v>1969</v>
      </c>
      <c r="T65" s="4">
        <v>1</v>
      </c>
      <c r="U65" s="4" t="s">
        <v>155</v>
      </c>
      <c r="V65" s="4" t="s">
        <v>237</v>
      </c>
      <c r="W65" s="4">
        <v>354</v>
      </c>
      <c r="X65" s="4">
        <v>1980</v>
      </c>
    </row>
    <row r="66" spans="1:32" x14ac:dyDescent="0.25">
      <c r="A66" s="4" t="s">
        <v>38</v>
      </c>
      <c r="B66" s="4">
        <v>2011</v>
      </c>
      <c r="C66" s="4" t="s">
        <v>246</v>
      </c>
      <c r="D66" s="4" t="s">
        <v>237</v>
      </c>
      <c r="E66" s="4">
        <v>106</v>
      </c>
      <c r="F66" s="4">
        <v>1646</v>
      </c>
      <c r="H66" t="s">
        <v>461</v>
      </c>
      <c r="J66">
        <f>SUM(F66,F67,F70,F72,F75,F77,F78,F80)</f>
        <v>285546</v>
      </c>
      <c r="R66" s="4" t="s">
        <v>218</v>
      </c>
      <c r="S66" s="4">
        <v>1970</v>
      </c>
      <c r="T66" s="4">
        <v>2</v>
      </c>
      <c r="U66" s="4" t="s">
        <v>156</v>
      </c>
      <c r="V66" s="4" t="s">
        <v>237</v>
      </c>
      <c r="W66" s="4">
        <v>65</v>
      </c>
      <c r="X66" s="4">
        <v>1980</v>
      </c>
      <c r="AB66" t="s">
        <v>397</v>
      </c>
      <c r="AE66">
        <f>SUM(AE3,AE5,AE7,AE9,AE11,AE13,AE15,AE17,AE19,AE22,AE25,AE26,AE28,AE30,AE32,AE35,AE37,AE39,AE41,AE43,AE45,AE47,AE49,AE51,AE53,AE56,AE58,AE60)</f>
        <v>15902</v>
      </c>
      <c r="AF66">
        <f>SUM(AF3,AF5,AF7,AF9,AF11,AF13,AF15,AF17,AF19,AF22,AF25,AF26,AF28,AF30,AF32,AF35,AF37,AF39,AF41,AF43,AF45,AF47,AF49,AF51,AF53,AF56,AF58,AF60)</f>
        <v>84103</v>
      </c>
    </row>
    <row r="67" spans="1:32" s="4" customFormat="1" x14ac:dyDescent="0.25">
      <c r="A67" s="4" t="s">
        <v>206</v>
      </c>
      <c r="B67" s="4">
        <v>1995</v>
      </c>
      <c r="C67" s="4" t="s">
        <v>246</v>
      </c>
      <c r="D67" s="4" t="s">
        <v>237</v>
      </c>
      <c r="E67" s="4">
        <v>70</v>
      </c>
      <c r="F67" s="4">
        <v>3133</v>
      </c>
      <c r="G67"/>
      <c r="H67"/>
      <c r="R67" s="4" t="s">
        <v>218</v>
      </c>
      <c r="S67" s="4">
        <v>1971</v>
      </c>
      <c r="T67" s="4">
        <v>3</v>
      </c>
      <c r="U67" s="4" t="s">
        <v>156</v>
      </c>
      <c r="V67" s="4" t="s">
        <v>237</v>
      </c>
      <c r="W67" s="4">
        <v>12</v>
      </c>
      <c r="X67" s="4">
        <v>1980</v>
      </c>
      <c r="Y67"/>
      <c r="AB67" s="4" t="s">
        <v>398</v>
      </c>
      <c r="AE67" s="4">
        <f>SUM(AF4,AF6,AF8,AF10,AF12,AF14,AF16,AF18,AF20,AF23,AF24,AF27,AF29,AF31,AF33,AF34,AF36,AF38,AF40,AF42,AF44,AF46,AF48,AF50,AF55,AF57,AF59,AF61)</f>
        <v>105935</v>
      </c>
    </row>
    <row r="68" spans="1:32" s="4" customFormat="1" x14ac:dyDescent="0.25">
      <c r="A68" s="4" t="s">
        <v>206</v>
      </c>
      <c r="B68" s="4">
        <v>1995</v>
      </c>
      <c r="C68" s="4" t="s">
        <v>245</v>
      </c>
      <c r="D68" s="4" t="s">
        <v>237</v>
      </c>
      <c r="E68" s="4">
        <v>108</v>
      </c>
      <c r="F68" s="4">
        <v>3133</v>
      </c>
      <c r="G68"/>
      <c r="H68"/>
      <c r="R68" s="4" t="s">
        <v>109</v>
      </c>
      <c r="S68" s="4">
        <v>2000</v>
      </c>
      <c r="T68" s="4">
        <v>1</v>
      </c>
      <c r="U68" s="4" t="s">
        <v>155</v>
      </c>
      <c r="V68" s="4" t="s">
        <v>237</v>
      </c>
      <c r="W68" s="4">
        <v>61</v>
      </c>
      <c r="X68" s="4">
        <v>180</v>
      </c>
      <c r="Y68"/>
    </row>
    <row r="69" spans="1:32" s="4" customFormat="1" x14ac:dyDescent="0.25">
      <c r="A69" s="4" t="s">
        <v>227</v>
      </c>
      <c r="B69" s="4">
        <v>2018</v>
      </c>
      <c r="C69" s="4" t="s">
        <v>245</v>
      </c>
      <c r="D69" s="4" t="s">
        <v>237</v>
      </c>
      <c r="E69" s="4">
        <v>99</v>
      </c>
      <c r="F69" s="4">
        <v>700</v>
      </c>
      <c r="G69"/>
      <c r="H69"/>
      <c r="R69" s="4" t="s">
        <v>109</v>
      </c>
      <c r="S69" s="4">
        <v>2000</v>
      </c>
      <c r="T69" s="4" t="s">
        <v>318</v>
      </c>
      <c r="U69" s="4" t="s">
        <v>156</v>
      </c>
      <c r="V69" s="4" t="s">
        <v>237</v>
      </c>
      <c r="W69" s="4">
        <v>3</v>
      </c>
      <c r="X69" s="4">
        <v>180</v>
      </c>
      <c r="Y69"/>
    </row>
    <row r="70" spans="1:32" s="4" customFormat="1" x14ac:dyDescent="0.25">
      <c r="A70" s="4" t="s">
        <v>227</v>
      </c>
      <c r="B70" s="4">
        <v>2018</v>
      </c>
      <c r="C70" s="4" t="s">
        <v>246</v>
      </c>
      <c r="D70" s="4" t="s">
        <v>237</v>
      </c>
      <c r="E70" s="4">
        <v>65</v>
      </c>
      <c r="F70" s="4">
        <v>700</v>
      </c>
      <c r="G70"/>
      <c r="H70"/>
      <c r="R70" s="4" t="s">
        <v>132</v>
      </c>
      <c r="S70" s="4">
        <v>2005</v>
      </c>
      <c r="T70" s="4">
        <v>1</v>
      </c>
      <c r="U70" s="4" t="s">
        <v>155</v>
      </c>
      <c r="V70" s="4" t="s">
        <v>237</v>
      </c>
      <c r="W70" s="4">
        <f>3226-555</f>
        <v>2671</v>
      </c>
      <c r="X70" s="4">
        <v>9574</v>
      </c>
      <c r="Y70"/>
      <c r="AE70" s="4">
        <f>SUM(AF66,AE67)</f>
        <v>190038</v>
      </c>
    </row>
    <row r="71" spans="1:32" x14ac:dyDescent="0.25">
      <c r="A71" s="4" t="s">
        <v>75</v>
      </c>
      <c r="B71" s="4">
        <v>2013</v>
      </c>
      <c r="C71" s="4" t="s">
        <v>245</v>
      </c>
      <c r="D71" s="4" t="s">
        <v>237</v>
      </c>
      <c r="E71" s="4">
        <v>47364</v>
      </c>
      <c r="F71" s="4">
        <v>219337</v>
      </c>
      <c r="R71" s="4" t="s">
        <v>132</v>
      </c>
      <c r="S71" s="4">
        <v>2005</v>
      </c>
      <c r="T71" s="4" t="s">
        <v>138</v>
      </c>
      <c r="U71" s="4" t="s">
        <v>156</v>
      </c>
      <c r="V71" s="4" t="s">
        <v>237</v>
      </c>
      <c r="W71" s="4">
        <v>555</v>
      </c>
      <c r="X71" s="4">
        <v>9574</v>
      </c>
      <c r="Z71" s="4"/>
      <c r="AA71" s="4"/>
      <c r="AB71" s="4"/>
      <c r="AC71" s="4"/>
      <c r="AD71" s="4"/>
      <c r="AE71" s="4"/>
      <c r="AF71" s="4"/>
    </row>
    <row r="72" spans="1:32" s="55" customFormat="1" x14ac:dyDescent="0.25">
      <c r="A72" s="4" t="s">
        <v>75</v>
      </c>
      <c r="B72" s="4">
        <v>2013</v>
      </c>
      <c r="C72" s="4" t="s">
        <v>246</v>
      </c>
      <c r="D72" s="4" t="s">
        <v>237</v>
      </c>
      <c r="E72" s="4">
        <v>14481</v>
      </c>
      <c r="F72" s="4">
        <v>219337</v>
      </c>
      <c r="R72" s="4" t="s">
        <v>220</v>
      </c>
      <c r="S72" s="4">
        <v>2007</v>
      </c>
      <c r="T72" s="4">
        <v>1</v>
      </c>
      <c r="U72" s="4" t="s">
        <v>155</v>
      </c>
      <c r="V72" s="4" t="s">
        <v>112</v>
      </c>
      <c r="W72" s="4">
        <v>97</v>
      </c>
      <c r="X72" s="4">
        <v>512</v>
      </c>
      <c r="Z72" s="60"/>
      <c r="AA72" s="60"/>
      <c r="AB72" s="60"/>
      <c r="AC72" s="60"/>
      <c r="AD72" s="60"/>
      <c r="AE72" s="60"/>
      <c r="AF72" s="60"/>
    </row>
    <row r="73" spans="1:32" x14ac:dyDescent="0.25">
      <c r="A73" s="4" t="s">
        <v>65</v>
      </c>
      <c r="B73" s="4">
        <v>2017</v>
      </c>
      <c r="C73" s="4" t="s">
        <v>246</v>
      </c>
      <c r="D73" s="4" t="s">
        <v>237</v>
      </c>
      <c r="E73" s="4">
        <v>47</v>
      </c>
      <c r="F73" s="4">
        <v>506</v>
      </c>
      <c r="R73" s="4" t="s">
        <v>220</v>
      </c>
      <c r="S73" s="4">
        <v>2007</v>
      </c>
      <c r="T73" s="4">
        <v>2</v>
      </c>
      <c r="U73" s="4" t="s">
        <v>156</v>
      </c>
      <c r="V73" s="4" t="s">
        <v>112</v>
      </c>
      <c r="W73" s="4">
        <v>18</v>
      </c>
      <c r="X73" s="4">
        <v>512</v>
      </c>
    </row>
    <row r="74" spans="1:32" x14ac:dyDescent="0.25">
      <c r="A74" s="4" t="s">
        <v>65</v>
      </c>
      <c r="B74" s="4">
        <v>2017</v>
      </c>
      <c r="C74" s="4" t="s">
        <v>245</v>
      </c>
      <c r="D74" s="4" t="s">
        <v>237</v>
      </c>
      <c r="E74" s="4">
        <v>53</v>
      </c>
      <c r="F74" s="4">
        <v>506</v>
      </c>
      <c r="R74" s="4" t="s">
        <v>220</v>
      </c>
      <c r="S74" s="4">
        <v>2007</v>
      </c>
      <c r="T74" s="4">
        <v>3</v>
      </c>
      <c r="U74" s="4" t="s">
        <v>156</v>
      </c>
      <c r="V74" s="4" t="s">
        <v>112</v>
      </c>
      <c r="W74" s="4">
        <v>1</v>
      </c>
      <c r="X74" s="4">
        <v>512</v>
      </c>
    </row>
    <row r="75" spans="1:32" x14ac:dyDescent="0.25">
      <c r="A75" s="4" t="s">
        <v>360</v>
      </c>
      <c r="B75" s="4">
        <v>2018</v>
      </c>
      <c r="C75" s="4" t="s">
        <v>246</v>
      </c>
      <c r="D75" s="4" t="s">
        <v>237</v>
      </c>
      <c r="E75" s="4">
        <v>51</v>
      </c>
      <c r="F75" s="4">
        <v>2015</v>
      </c>
      <c r="R75" s="4" t="s">
        <v>220</v>
      </c>
      <c r="S75" s="4">
        <v>2007</v>
      </c>
      <c r="T75" s="4">
        <v>4</v>
      </c>
      <c r="U75" s="4" t="s">
        <v>156</v>
      </c>
      <c r="V75" s="4" t="s">
        <v>112</v>
      </c>
      <c r="W75" s="4">
        <v>1</v>
      </c>
      <c r="X75" s="4">
        <v>512</v>
      </c>
    </row>
    <row r="76" spans="1:32" x14ac:dyDescent="0.25">
      <c r="A76" s="4" t="s">
        <v>360</v>
      </c>
      <c r="B76" s="4">
        <v>2018</v>
      </c>
      <c r="C76" s="4" t="s">
        <v>245</v>
      </c>
      <c r="D76" s="4" t="s">
        <v>237</v>
      </c>
      <c r="E76" s="4">
        <v>63</v>
      </c>
      <c r="F76" s="4">
        <v>2015</v>
      </c>
      <c r="R76" s="4" t="s">
        <v>316</v>
      </c>
      <c r="S76" s="4">
        <v>2008</v>
      </c>
      <c r="T76" s="4">
        <v>1</v>
      </c>
      <c r="U76" s="4" t="s">
        <v>155</v>
      </c>
      <c r="V76" s="4" t="s">
        <v>112</v>
      </c>
      <c r="W76" s="4">
        <v>61</v>
      </c>
      <c r="X76" s="4">
        <v>350</v>
      </c>
    </row>
    <row r="77" spans="1:32" x14ac:dyDescent="0.25">
      <c r="A77" s="4" t="s">
        <v>133</v>
      </c>
      <c r="B77" s="4">
        <v>2006</v>
      </c>
      <c r="C77" s="4" t="s">
        <v>246</v>
      </c>
      <c r="D77" s="4" t="s">
        <v>237</v>
      </c>
      <c r="E77" s="4">
        <v>3027</v>
      </c>
      <c r="F77" s="4">
        <v>57853</v>
      </c>
      <c r="R77" s="4" t="s">
        <v>316</v>
      </c>
      <c r="S77" s="4">
        <v>2008</v>
      </c>
      <c r="T77" s="4">
        <v>2</v>
      </c>
      <c r="U77" s="4" t="s">
        <v>156</v>
      </c>
      <c r="V77" s="4" t="s">
        <v>112</v>
      </c>
      <c r="W77" s="4">
        <v>5</v>
      </c>
      <c r="X77" s="4">
        <v>350</v>
      </c>
      <c r="Z77" s="60"/>
      <c r="AA77" s="60"/>
    </row>
    <row r="78" spans="1:32" x14ac:dyDescent="0.25">
      <c r="A78" s="4" t="s">
        <v>220</v>
      </c>
      <c r="B78" s="4">
        <v>2007</v>
      </c>
      <c r="C78" s="4" t="s">
        <v>246</v>
      </c>
      <c r="D78" s="4" t="s">
        <v>112</v>
      </c>
      <c r="E78" s="4">
        <v>28</v>
      </c>
      <c r="F78" s="4">
        <v>512</v>
      </c>
      <c r="R78" s="4" t="s">
        <v>316</v>
      </c>
      <c r="S78" s="4">
        <v>2008</v>
      </c>
      <c r="T78" s="4">
        <v>3</v>
      </c>
      <c r="U78" s="4" t="s">
        <v>156</v>
      </c>
      <c r="V78" s="4" t="s">
        <v>112</v>
      </c>
      <c r="W78" s="4">
        <v>2</v>
      </c>
      <c r="X78" s="4">
        <v>350</v>
      </c>
      <c r="Z78" s="60"/>
      <c r="AA78" s="60"/>
    </row>
    <row r="79" spans="1:32" x14ac:dyDescent="0.25">
      <c r="A79" s="4" t="s">
        <v>220</v>
      </c>
      <c r="B79" s="4">
        <v>2007</v>
      </c>
      <c r="C79" s="4" t="s">
        <v>245</v>
      </c>
      <c r="D79" s="4" t="s">
        <v>112</v>
      </c>
      <c r="E79" s="4">
        <v>89</v>
      </c>
      <c r="F79" s="4">
        <v>512</v>
      </c>
      <c r="R79" s="4" t="s">
        <v>104</v>
      </c>
      <c r="S79" s="4">
        <v>2012</v>
      </c>
      <c r="T79" s="4" t="s">
        <v>138</v>
      </c>
      <c r="U79" s="4" t="s">
        <v>156</v>
      </c>
      <c r="V79" s="4" t="s">
        <v>112</v>
      </c>
      <c r="W79" s="4">
        <v>468</v>
      </c>
      <c r="X79" s="4">
        <v>10453</v>
      </c>
    </row>
    <row r="80" spans="1:32" x14ac:dyDescent="0.25">
      <c r="A80" s="4" t="s">
        <v>316</v>
      </c>
      <c r="B80" s="4">
        <v>2008</v>
      </c>
      <c r="C80" s="4" t="s">
        <v>246</v>
      </c>
      <c r="D80" s="4" t="s">
        <v>112</v>
      </c>
      <c r="E80" s="4">
        <v>48</v>
      </c>
      <c r="F80" s="4">
        <v>350</v>
      </c>
      <c r="R80" s="4" t="s">
        <v>222</v>
      </c>
      <c r="S80" s="4">
        <v>2013</v>
      </c>
      <c r="T80" s="4">
        <v>1</v>
      </c>
      <c r="U80" s="60" t="s">
        <v>155</v>
      </c>
      <c r="V80" s="60" t="s">
        <v>237</v>
      </c>
      <c r="W80" s="60">
        <v>151</v>
      </c>
      <c r="X80" s="60">
        <v>4219</v>
      </c>
    </row>
    <row r="81" spans="1:25" x14ac:dyDescent="0.25">
      <c r="A81" s="4" t="s">
        <v>316</v>
      </c>
      <c r="B81" s="4">
        <v>2008</v>
      </c>
      <c r="C81" s="4" t="s">
        <v>245</v>
      </c>
      <c r="D81" s="4" t="s">
        <v>112</v>
      </c>
      <c r="E81" s="4">
        <v>17</v>
      </c>
      <c r="F81" s="4">
        <v>350</v>
      </c>
      <c r="R81" s="4" t="s">
        <v>222</v>
      </c>
      <c r="S81" s="4">
        <v>2013</v>
      </c>
      <c r="T81" t="s">
        <v>318</v>
      </c>
      <c r="U81" s="60" t="s">
        <v>156</v>
      </c>
      <c r="V81" s="60" t="s">
        <v>237</v>
      </c>
      <c r="W81" s="60">
        <v>138</v>
      </c>
      <c r="X81" s="60">
        <v>4219</v>
      </c>
    </row>
    <row r="82" spans="1:25" x14ac:dyDescent="0.25">
      <c r="R82" s="4" t="s">
        <v>135</v>
      </c>
      <c r="S82" s="4">
        <v>2015</v>
      </c>
      <c r="T82" s="4">
        <v>1</v>
      </c>
      <c r="U82" s="4" t="s">
        <v>155</v>
      </c>
      <c r="V82" s="4" t="s">
        <v>237</v>
      </c>
      <c r="W82" s="4">
        <v>133</v>
      </c>
      <c r="X82" s="4">
        <v>1060</v>
      </c>
    </row>
    <row r="83" spans="1:25" x14ac:dyDescent="0.25">
      <c r="R83" s="4" t="s">
        <v>135</v>
      </c>
      <c r="S83" s="4">
        <v>2015</v>
      </c>
      <c r="T83" s="4" t="s">
        <v>318</v>
      </c>
      <c r="U83" s="4" t="s">
        <v>156</v>
      </c>
      <c r="V83" s="4" t="s">
        <v>237</v>
      </c>
      <c r="W83" s="4">
        <v>112</v>
      </c>
      <c r="X83" s="4">
        <v>1060</v>
      </c>
    </row>
    <row r="84" spans="1:25" x14ac:dyDescent="0.25">
      <c r="A84" s="5"/>
      <c r="B84" s="3"/>
      <c r="C84" s="5"/>
      <c r="E84" s="5"/>
      <c r="F84" s="5"/>
      <c r="R84" s="4" t="s">
        <v>231</v>
      </c>
      <c r="S84" s="4">
        <v>2013</v>
      </c>
      <c r="T84" s="4">
        <v>1</v>
      </c>
      <c r="U84" s="4" t="s">
        <v>155</v>
      </c>
      <c r="V84" s="4" t="s">
        <v>237</v>
      </c>
      <c r="W84" s="4">
        <v>164</v>
      </c>
      <c r="X84" s="4">
        <v>1776</v>
      </c>
      <c r="Y84" s="4"/>
    </row>
    <row r="85" spans="1:25" x14ac:dyDescent="0.25">
      <c r="A85" s="5"/>
      <c r="B85" s="3"/>
      <c r="C85" s="5"/>
      <c r="E85" s="5"/>
      <c r="F85" s="5"/>
      <c r="R85" s="4" t="s">
        <v>231</v>
      </c>
      <c r="S85" s="4">
        <v>2013</v>
      </c>
      <c r="T85" s="4">
        <v>2</v>
      </c>
      <c r="U85" s="4" t="s">
        <v>156</v>
      </c>
      <c r="V85" s="4" t="s">
        <v>237</v>
      </c>
      <c r="W85" s="4">
        <v>37</v>
      </c>
      <c r="X85" s="4">
        <v>1776</v>
      </c>
      <c r="Y85" s="4"/>
    </row>
    <row r="86" spans="1:25" x14ac:dyDescent="0.25">
      <c r="A86" s="5"/>
      <c r="B86" s="3"/>
      <c r="C86" s="5"/>
      <c r="E86" s="5"/>
      <c r="F86" s="5"/>
      <c r="R86" s="4" t="s">
        <v>231</v>
      </c>
      <c r="S86" s="4">
        <v>2013</v>
      </c>
      <c r="T86" s="4" t="s">
        <v>319</v>
      </c>
      <c r="U86" s="4" t="s">
        <v>156</v>
      </c>
      <c r="V86" s="4" t="s">
        <v>237</v>
      </c>
      <c r="W86" s="4">
        <v>4</v>
      </c>
      <c r="X86" s="4">
        <v>1776</v>
      </c>
      <c r="Y86" s="4"/>
    </row>
    <row r="87" spans="1:25" x14ac:dyDescent="0.25">
      <c r="A87" s="5"/>
      <c r="B87" s="3"/>
      <c r="C87" s="5"/>
      <c r="E87" s="5"/>
      <c r="F87" s="5"/>
      <c r="G87" s="5"/>
      <c r="Y87" s="4"/>
    </row>
    <row r="88" spans="1:25" x14ac:dyDescent="0.25">
      <c r="A88" s="5"/>
      <c r="B88" s="3"/>
      <c r="C88" s="5"/>
      <c r="E88" s="5"/>
      <c r="F88" s="5"/>
      <c r="G88" s="5"/>
      <c r="U88" s="60" t="s">
        <v>86</v>
      </c>
      <c r="V88">
        <f>SUM(X3,X6,X11,X13,X16,X18,X22,X25,X28,X30,X34,X36,X39,X44,X46,X48,X52,X54,X57,X60,X62,X65,X68,X70,X72,X76,X79,X80,X82,X84)</f>
        <v>106521</v>
      </c>
      <c r="W88" t="s">
        <v>462</v>
      </c>
    </row>
    <row r="89" spans="1:25" x14ac:dyDescent="0.25">
      <c r="A89" s="5"/>
      <c r="B89" s="3"/>
      <c r="C89" s="5"/>
      <c r="E89" s="5"/>
      <c r="F89" s="5"/>
      <c r="G89" s="5"/>
    </row>
    <row r="90" spans="1:25" x14ac:dyDescent="0.25">
      <c r="A90" s="5"/>
      <c r="B90" s="3"/>
      <c r="C90" s="5"/>
      <c r="E90" s="5"/>
      <c r="F90" s="5"/>
      <c r="G90" s="5"/>
    </row>
    <row r="91" spans="1:25" x14ac:dyDescent="0.25">
      <c r="A91" s="5"/>
      <c r="B91" s="3"/>
      <c r="C91" s="5"/>
      <c r="E91" s="5"/>
      <c r="F91" s="5"/>
    </row>
    <row r="93" spans="1:25" s="55" customFormat="1" x14ac:dyDescent="0.25"/>
    <row r="95" spans="1:25" x14ac:dyDescent="0.25">
      <c r="A95" s="3"/>
      <c r="B95" s="3"/>
      <c r="C95" s="3"/>
      <c r="E95" s="3"/>
      <c r="F95" s="3"/>
    </row>
    <row r="103" spans="17:20" s="4" customFormat="1" x14ac:dyDescent="0.25">
      <c r="Q103"/>
      <c r="R103"/>
      <c r="S103"/>
      <c r="T103"/>
    </row>
    <row r="104" spans="17:20" s="60" customFormat="1" x14ac:dyDescent="0.25">
      <c r="Q104" s="55"/>
      <c r="R104" s="55"/>
      <c r="S104" s="55"/>
      <c r="T104" s="55"/>
    </row>
    <row r="105" spans="17:20" s="60" customFormat="1" x14ac:dyDescent="0.25">
      <c r="Q105" s="55"/>
      <c r="R105" s="55"/>
      <c r="S105" s="55"/>
      <c r="T105" s="55"/>
    </row>
    <row r="106" spans="17:20" s="60" customFormat="1" x14ac:dyDescent="0.25">
      <c r="Q106" s="55"/>
      <c r="R106" s="55"/>
      <c r="S106" s="55"/>
      <c r="T106" s="55"/>
    </row>
    <row r="107" spans="17:20" s="4" customFormat="1" x14ac:dyDescent="0.25">
      <c r="Q107"/>
      <c r="R107"/>
      <c r="S107"/>
      <c r="T107"/>
    </row>
    <row r="108" spans="17:20" s="4" customFormat="1" x14ac:dyDescent="0.25">
      <c r="Q108"/>
      <c r="R108"/>
      <c r="S108"/>
      <c r="T108"/>
    </row>
    <row r="120" spans="1:3" x14ac:dyDescent="0.25">
      <c r="A120" t="s">
        <v>1</v>
      </c>
    </row>
    <row r="121" spans="1:3" x14ac:dyDescent="0.25">
      <c r="A121">
        <v>0.16</v>
      </c>
      <c r="B121">
        <v>0.03</v>
      </c>
      <c r="C121">
        <v>0.04</v>
      </c>
    </row>
    <row r="122" spans="1:3" x14ac:dyDescent="0.25">
      <c r="A122">
        <v>0.03</v>
      </c>
      <c r="B122">
        <v>0.01</v>
      </c>
      <c r="C122">
        <v>0.01</v>
      </c>
    </row>
    <row r="123" spans="1:3" x14ac:dyDescent="0.25">
      <c r="A123">
        <v>0.01</v>
      </c>
      <c r="B123">
        <v>0.01</v>
      </c>
      <c r="C123">
        <v>0.01</v>
      </c>
    </row>
    <row r="141" spans="1:17" s="4" customFormat="1" x14ac:dyDescent="0.25">
      <c r="A141"/>
      <c r="B141"/>
      <c r="C141"/>
      <c r="D141"/>
      <c r="E141"/>
      <c r="F141"/>
      <c r="J141"/>
      <c r="K141"/>
      <c r="L141"/>
      <c r="M141"/>
      <c r="N141"/>
      <c r="O141"/>
      <c r="P141"/>
      <c r="Q141"/>
    </row>
    <row r="142" spans="1:17" s="4" customFormat="1" x14ac:dyDescent="0.25">
      <c r="J142"/>
      <c r="K142"/>
      <c r="L142"/>
      <c r="M142"/>
      <c r="N142"/>
      <c r="O142"/>
      <c r="P142"/>
      <c r="Q142"/>
    </row>
    <row r="143" spans="1:17" s="4" customFormat="1" x14ac:dyDescent="0.25">
      <c r="J143"/>
      <c r="K143"/>
      <c r="L143"/>
      <c r="M143"/>
      <c r="N143"/>
      <c r="O143"/>
      <c r="P143"/>
      <c r="Q143"/>
    </row>
    <row r="144" spans="1:17" s="4" customFormat="1" x14ac:dyDescent="0.25">
      <c r="J144"/>
      <c r="K144"/>
      <c r="L144"/>
      <c r="M144"/>
      <c r="N144"/>
      <c r="O144"/>
      <c r="P144"/>
      <c r="Q144"/>
    </row>
    <row r="145" spans="1:6" x14ac:dyDescent="0.25">
      <c r="A145" s="4"/>
      <c r="B145" s="4"/>
      <c r="C145" s="4"/>
      <c r="D145" s="4"/>
      <c r="E145" s="4"/>
      <c r="F145" s="4"/>
    </row>
    <row r="146" spans="1:6" hidden="1" x14ac:dyDescent="0.25"/>
    <row r="147" spans="1:6" s="9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5" sqref="A5:XFD5"/>
    </sheetView>
  </sheetViews>
  <sheetFormatPr defaultRowHeight="15" x14ac:dyDescent="0.25"/>
  <cols>
    <col min="1" max="1" width="18.42578125" bestFit="1" customWidth="1"/>
    <col min="2" max="2" width="9.140625" style="11"/>
    <col min="3" max="3" width="12.85546875" style="11" customWidth="1"/>
    <col min="4" max="4" width="11.42578125" style="11" customWidth="1"/>
    <col min="5" max="5" width="16.140625" style="11" customWidth="1"/>
    <col min="6" max="6" width="12.42578125" style="11" customWidth="1"/>
    <col min="7" max="7" width="11.5703125" style="11" customWidth="1"/>
  </cols>
  <sheetData>
    <row r="1" spans="1:14" x14ac:dyDescent="0.25">
      <c r="A1" s="10" t="s">
        <v>330</v>
      </c>
      <c r="B1" s="12"/>
      <c r="C1" s="61" t="s">
        <v>306</v>
      </c>
      <c r="D1" s="61" t="s">
        <v>307</v>
      </c>
      <c r="E1" s="61" t="s">
        <v>308</v>
      </c>
      <c r="F1" s="61" t="s">
        <v>309</v>
      </c>
      <c r="G1" s="61" t="s">
        <v>331</v>
      </c>
      <c r="H1" s="56"/>
      <c r="J1" s="11"/>
      <c r="K1" s="11"/>
      <c r="L1" s="11"/>
      <c r="M1" s="11"/>
      <c r="N1" s="11"/>
    </row>
    <row r="2" spans="1:14" x14ac:dyDescent="0.25">
      <c r="A2" s="56" t="s">
        <v>226</v>
      </c>
      <c r="B2" s="12">
        <v>2018</v>
      </c>
      <c r="C2" s="26">
        <v>83</v>
      </c>
      <c r="D2" s="26">
        <v>11</v>
      </c>
      <c r="E2" s="26">
        <v>9</v>
      </c>
      <c r="F2" s="26">
        <v>314</v>
      </c>
      <c r="G2" s="23" t="s">
        <v>332</v>
      </c>
      <c r="H2" s="56" t="s">
        <v>314</v>
      </c>
      <c r="K2" s="14"/>
      <c r="L2" s="14"/>
      <c r="M2" s="11"/>
      <c r="N2" s="11"/>
    </row>
    <row r="3" spans="1:14" x14ac:dyDescent="0.25">
      <c r="A3" s="56" t="s">
        <v>184</v>
      </c>
      <c r="B3" s="12">
        <v>2017</v>
      </c>
      <c r="C3" s="26">
        <v>202</v>
      </c>
      <c r="D3" s="26">
        <v>48</v>
      </c>
      <c r="E3" s="26">
        <v>16</v>
      </c>
      <c r="F3" s="26">
        <v>234</v>
      </c>
      <c r="G3" s="23" t="s">
        <v>333</v>
      </c>
      <c r="H3" s="56" t="s">
        <v>314</v>
      </c>
      <c r="J3" s="11"/>
      <c r="K3" s="14"/>
      <c r="L3" s="14"/>
      <c r="M3" s="11"/>
      <c r="N3" s="11"/>
    </row>
    <row r="4" spans="1:14" x14ac:dyDescent="0.25">
      <c r="A4" s="56" t="s">
        <v>233</v>
      </c>
      <c r="B4" s="12">
        <v>2003</v>
      </c>
      <c r="C4" s="26">
        <v>18</v>
      </c>
      <c r="D4" s="26">
        <v>4</v>
      </c>
      <c r="E4" s="26">
        <v>1</v>
      </c>
      <c r="F4" s="26">
        <v>45</v>
      </c>
      <c r="G4" s="23" t="s">
        <v>334</v>
      </c>
      <c r="H4" s="56" t="s">
        <v>314</v>
      </c>
      <c r="J4" s="11"/>
      <c r="K4" s="14"/>
      <c r="L4" s="14"/>
      <c r="M4" s="11"/>
      <c r="N4" s="11"/>
    </row>
    <row r="5" spans="1:14" x14ac:dyDescent="0.25">
      <c r="A5" s="56" t="s">
        <v>19</v>
      </c>
      <c r="B5" s="12">
        <v>2005</v>
      </c>
      <c r="C5" s="26">
        <f>144-23</f>
        <v>121</v>
      </c>
      <c r="D5" s="26">
        <v>23</v>
      </c>
      <c r="E5" s="26">
        <v>21</v>
      </c>
      <c r="F5" s="26">
        <f>208-21</f>
        <v>187</v>
      </c>
      <c r="G5" s="23" t="s">
        <v>335</v>
      </c>
      <c r="H5" s="56" t="s">
        <v>371</v>
      </c>
      <c r="J5" s="11"/>
      <c r="K5" s="14"/>
      <c r="L5" s="14"/>
      <c r="M5" s="11"/>
      <c r="N5" s="11"/>
    </row>
    <row r="6" spans="1:14" x14ac:dyDescent="0.25">
      <c r="A6" s="59" t="s">
        <v>62</v>
      </c>
      <c r="B6" s="26">
        <v>2003</v>
      </c>
      <c r="C6" s="26">
        <v>9</v>
      </c>
      <c r="D6" s="26">
        <v>15</v>
      </c>
      <c r="E6" s="26">
        <v>22</v>
      </c>
      <c r="F6" s="26">
        <v>38</v>
      </c>
      <c r="G6" s="23" t="s">
        <v>336</v>
      </c>
      <c r="H6" s="56" t="s">
        <v>314</v>
      </c>
      <c r="I6" t="s">
        <v>310</v>
      </c>
      <c r="J6" s="11"/>
      <c r="K6" s="14"/>
      <c r="L6" s="14"/>
      <c r="M6" s="11"/>
      <c r="N6" s="11"/>
    </row>
    <row r="7" spans="1:14" x14ac:dyDescent="0.25">
      <c r="A7" s="56" t="s">
        <v>311</v>
      </c>
      <c r="B7" s="12">
        <v>2004</v>
      </c>
      <c r="C7" s="26">
        <v>44</v>
      </c>
      <c r="D7" s="26">
        <v>74</v>
      </c>
      <c r="E7" s="26">
        <v>17</v>
      </c>
      <c r="F7" s="26">
        <v>98</v>
      </c>
      <c r="G7" s="23" t="s">
        <v>339</v>
      </c>
      <c r="H7" s="56" t="s">
        <v>314</v>
      </c>
      <c r="J7" s="11"/>
      <c r="K7" s="14"/>
      <c r="L7" s="14"/>
      <c r="M7" s="11"/>
      <c r="N7" s="11"/>
    </row>
    <row r="8" spans="1:14" x14ac:dyDescent="0.25">
      <c r="A8" s="56" t="s">
        <v>235</v>
      </c>
      <c r="B8" s="12">
        <v>2002</v>
      </c>
      <c r="C8" s="26">
        <v>24</v>
      </c>
      <c r="D8" s="26">
        <v>11</v>
      </c>
      <c r="E8" s="26">
        <v>17</v>
      </c>
      <c r="F8" s="26">
        <f>0.8*85</f>
        <v>68</v>
      </c>
      <c r="G8" s="23" t="s">
        <v>337</v>
      </c>
      <c r="H8" s="56" t="s">
        <v>312</v>
      </c>
      <c r="J8" s="11"/>
      <c r="K8" s="14"/>
      <c r="L8" s="14"/>
      <c r="M8" s="11"/>
      <c r="N8" s="11"/>
    </row>
    <row r="9" spans="1:14" x14ac:dyDescent="0.25">
      <c r="A9" s="56" t="s">
        <v>235</v>
      </c>
      <c r="B9" s="12">
        <v>2002</v>
      </c>
      <c r="C9" s="26">
        <v>25</v>
      </c>
      <c r="D9" s="26">
        <v>10</v>
      </c>
      <c r="E9" s="26">
        <v>15</v>
      </c>
      <c r="F9" s="26">
        <v>70</v>
      </c>
      <c r="G9" s="23" t="s">
        <v>337</v>
      </c>
      <c r="H9" s="56" t="s">
        <v>313</v>
      </c>
      <c r="J9" s="11"/>
      <c r="K9" s="14"/>
      <c r="L9" s="14"/>
      <c r="M9" s="11"/>
      <c r="N9" s="11"/>
    </row>
    <row r="10" spans="1:14" x14ac:dyDescent="0.25">
      <c r="A10" s="56" t="s">
        <v>235</v>
      </c>
      <c r="B10" s="12">
        <v>2002</v>
      </c>
      <c r="C10" s="26">
        <v>29</v>
      </c>
      <c r="D10" s="26">
        <v>6</v>
      </c>
      <c r="E10" s="26">
        <v>19</v>
      </c>
      <c r="F10" s="26">
        <v>66</v>
      </c>
      <c r="G10" s="23" t="s">
        <v>337</v>
      </c>
      <c r="H10" s="56" t="s">
        <v>314</v>
      </c>
      <c r="J10" s="11"/>
      <c r="K10" s="14"/>
      <c r="L10" s="14"/>
      <c r="M10" s="11"/>
      <c r="N10" s="11"/>
    </row>
    <row r="11" spans="1:14" x14ac:dyDescent="0.25">
      <c r="A11" s="56" t="s">
        <v>385</v>
      </c>
      <c r="B11" s="12">
        <v>2007</v>
      </c>
      <c r="C11" s="26">
        <v>45</v>
      </c>
      <c r="D11" s="26">
        <v>8</v>
      </c>
      <c r="E11" s="26">
        <v>11</v>
      </c>
      <c r="F11" s="26">
        <v>136</v>
      </c>
      <c r="G11" s="23" t="s">
        <v>336</v>
      </c>
      <c r="H11" s="56" t="s">
        <v>386</v>
      </c>
      <c r="J11" s="11"/>
      <c r="K11" s="14"/>
      <c r="L11" s="14"/>
      <c r="M11" s="11"/>
      <c r="N11" s="11"/>
    </row>
    <row r="12" spans="1:14" x14ac:dyDescent="0.25">
      <c r="A12" s="56" t="s">
        <v>215</v>
      </c>
      <c r="B12" s="12">
        <v>2007</v>
      </c>
      <c r="C12" s="26">
        <v>36</v>
      </c>
      <c r="D12" s="26">
        <v>8</v>
      </c>
      <c r="E12" s="26">
        <v>16</v>
      </c>
      <c r="F12" s="26">
        <v>26</v>
      </c>
      <c r="G12" s="23" t="s">
        <v>370</v>
      </c>
      <c r="H12" s="56" t="s">
        <v>313</v>
      </c>
      <c r="J12" s="11"/>
      <c r="K12" s="14"/>
      <c r="L12" s="14"/>
      <c r="M12" s="11"/>
      <c r="N12" s="11"/>
    </row>
    <row r="13" spans="1:14" x14ac:dyDescent="0.25">
      <c r="A13" s="56" t="s">
        <v>136</v>
      </c>
      <c r="B13" s="12">
        <v>2005</v>
      </c>
      <c r="C13" s="26">
        <v>18</v>
      </c>
      <c r="D13" s="26">
        <v>44</v>
      </c>
      <c r="E13" s="26">
        <v>34</v>
      </c>
      <c r="F13" s="26">
        <v>193</v>
      </c>
      <c r="G13" s="23" t="s">
        <v>338</v>
      </c>
      <c r="H13" s="56" t="s">
        <v>314</v>
      </c>
      <c r="J13" s="11"/>
      <c r="K13" s="14"/>
      <c r="L13" s="14"/>
      <c r="M13" s="14"/>
      <c r="N13" s="11"/>
    </row>
    <row r="14" spans="1:14" x14ac:dyDescent="0.25">
      <c r="A14" s="56" t="s">
        <v>109</v>
      </c>
      <c r="B14" s="12">
        <v>2000</v>
      </c>
      <c r="C14" s="12">
        <v>62</v>
      </c>
      <c r="D14" s="12">
        <v>14</v>
      </c>
      <c r="E14" s="12">
        <v>2</v>
      </c>
      <c r="F14" s="12">
        <v>102</v>
      </c>
      <c r="G14" s="13" t="s">
        <v>387</v>
      </c>
      <c r="H14" s="56"/>
      <c r="M14" s="11"/>
      <c r="N14" s="11"/>
    </row>
    <row r="15" spans="1:14" x14ac:dyDescent="0.25">
      <c r="A15" s="56" t="s">
        <v>345</v>
      </c>
      <c r="B15" s="12">
        <v>2000</v>
      </c>
      <c r="C15" s="26">
        <v>46</v>
      </c>
      <c r="D15" s="26">
        <v>11</v>
      </c>
      <c r="E15" s="26">
        <v>4</v>
      </c>
      <c r="F15" s="26">
        <v>71</v>
      </c>
      <c r="G15" s="23" t="s">
        <v>346</v>
      </c>
      <c r="H15" s="56" t="s">
        <v>314</v>
      </c>
      <c r="J15" s="11"/>
      <c r="K15" s="14"/>
      <c r="L15" s="14"/>
      <c r="M15" s="11"/>
      <c r="N15" s="11"/>
    </row>
    <row r="16" spans="1:14" x14ac:dyDescent="0.25">
      <c r="A16" s="56"/>
      <c r="B16" s="12"/>
      <c r="C16" s="12"/>
      <c r="D16" s="12"/>
      <c r="E16" s="12"/>
      <c r="F16" s="12"/>
      <c r="G16" s="12"/>
      <c r="H16" s="56"/>
      <c r="I16" s="9"/>
      <c r="J16" s="12"/>
      <c r="K16" s="11"/>
      <c r="L16" s="11"/>
      <c r="M16" s="11"/>
      <c r="N16" s="11"/>
    </row>
    <row r="17" spans="1:10" x14ac:dyDescent="0.25">
      <c r="A17" s="9"/>
      <c r="B17" s="12"/>
      <c r="C17" s="12"/>
      <c r="D17" s="12"/>
      <c r="E17" s="12"/>
      <c r="F17" s="12"/>
      <c r="G17" s="12"/>
      <c r="H17" s="9"/>
      <c r="I17" s="9"/>
      <c r="J17" s="9"/>
    </row>
    <row r="18" spans="1:10" x14ac:dyDescent="0.25">
      <c r="A18" s="9"/>
      <c r="B18" s="12"/>
      <c r="C18" s="12"/>
      <c r="D18" s="12"/>
      <c r="E18" s="12"/>
      <c r="F18" s="12"/>
      <c r="G18" s="12"/>
      <c r="H18" s="9"/>
      <c r="I18" s="9"/>
      <c r="J18" s="9"/>
    </row>
    <row r="19" spans="1:10" x14ac:dyDescent="0.25">
      <c r="A19" s="9"/>
      <c r="B19" s="12"/>
      <c r="C19" s="12"/>
      <c r="D19" s="12"/>
      <c r="E19" s="12"/>
      <c r="F19" s="12"/>
      <c r="G19" s="12"/>
      <c r="H19" s="9"/>
      <c r="I19" s="9"/>
      <c r="J19" s="9"/>
    </row>
    <row r="20" spans="1:10" x14ac:dyDescent="0.25">
      <c r="A20" s="9"/>
      <c r="B20" s="12"/>
      <c r="C20" s="12"/>
      <c r="D20" s="12"/>
      <c r="E20" s="12"/>
      <c r="F20" s="12"/>
      <c r="G20" s="12"/>
      <c r="H20" s="9"/>
      <c r="I20" s="9"/>
      <c r="J20" s="9"/>
    </row>
    <row r="21" spans="1:10" x14ac:dyDescent="0.25">
      <c r="A21" s="9"/>
      <c r="B21" s="12"/>
      <c r="C21" s="12"/>
      <c r="D21" s="12"/>
      <c r="E21" s="12"/>
      <c r="F21" s="12"/>
      <c r="G21" s="12"/>
      <c r="H21" s="9"/>
      <c r="I21" s="9"/>
      <c r="J21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5"/>
  <sheetViews>
    <sheetView zoomScale="70" zoomScaleNormal="70" workbookViewId="0">
      <pane ySplit="1" topLeftCell="A2" activePane="bottomLeft" state="frozen"/>
      <selection activeCell="C1" sqref="C1"/>
      <selection pane="bottomLeft" activeCell="D345" sqref="D345"/>
    </sheetView>
  </sheetViews>
  <sheetFormatPr defaultRowHeight="15" x14ac:dyDescent="0.25"/>
  <cols>
    <col min="1" max="1" width="14.28515625" style="56" customWidth="1"/>
    <col min="2" max="2" width="9.140625" style="56"/>
    <col min="3" max="3" width="22.140625" style="56" customWidth="1"/>
    <col min="4" max="4" width="13.140625" style="56" customWidth="1"/>
    <col min="5" max="5" width="21" style="56" customWidth="1"/>
    <col min="6" max="6" width="16.28515625" style="57" customWidth="1"/>
    <col min="7" max="7" width="19.42578125" style="56" customWidth="1"/>
    <col min="8" max="8" width="21.28515625" style="56" customWidth="1"/>
    <col min="9" max="9" width="22.5703125" style="56" customWidth="1"/>
    <col min="10" max="10" width="29.140625" style="56" customWidth="1"/>
    <col min="11" max="11" width="9.140625" style="56"/>
    <col min="12" max="12" width="15.85546875" style="56" customWidth="1"/>
    <col min="13" max="13" width="14.140625" style="56" customWidth="1"/>
    <col min="14" max="14" width="9.140625" style="13"/>
    <col min="15" max="15" width="9.140625" style="56"/>
    <col min="16" max="16" width="15" style="56" customWidth="1"/>
    <col min="17" max="17" width="14.85546875" style="56" customWidth="1"/>
    <col min="18" max="18" width="12.42578125" style="56" customWidth="1"/>
    <col min="19" max="19" width="7.5703125" style="56" customWidth="1"/>
    <col min="20" max="21" width="9.140625" style="56"/>
    <col min="22" max="22" width="12.28515625" style="56" customWidth="1"/>
    <col min="23" max="16384" width="9.140625" style="56"/>
  </cols>
  <sheetData>
    <row r="1" spans="1:28" x14ac:dyDescent="0.25">
      <c r="A1" s="38" t="s">
        <v>10</v>
      </c>
      <c r="B1" s="38" t="s">
        <v>0</v>
      </c>
      <c r="C1" s="38"/>
      <c r="D1" s="38" t="s">
        <v>48</v>
      </c>
      <c r="E1" s="38"/>
      <c r="F1" s="38" t="s">
        <v>57</v>
      </c>
      <c r="G1" s="38" t="s">
        <v>277</v>
      </c>
      <c r="H1" s="38" t="s">
        <v>278</v>
      </c>
      <c r="I1" s="38" t="s">
        <v>279</v>
      </c>
      <c r="J1" s="38" t="s">
        <v>280</v>
      </c>
      <c r="K1" s="38"/>
      <c r="L1" s="59"/>
    </row>
    <row r="2" spans="1:28" x14ac:dyDescent="0.25">
      <c r="A2" s="38" t="s">
        <v>226</v>
      </c>
      <c r="B2" s="38">
        <v>2018</v>
      </c>
      <c r="C2" s="38" t="s">
        <v>242</v>
      </c>
      <c r="D2" s="38" t="s">
        <v>164</v>
      </c>
      <c r="E2" s="38" t="s">
        <v>276</v>
      </c>
      <c r="F2" s="38" t="s">
        <v>237</v>
      </c>
      <c r="G2" s="38">
        <v>0</v>
      </c>
      <c r="H2" s="38">
        <v>92</v>
      </c>
      <c r="I2" s="38">
        <v>0</v>
      </c>
      <c r="J2" s="38">
        <v>325</v>
      </c>
      <c r="K2" s="38"/>
      <c r="L2" s="59"/>
    </row>
    <row r="3" spans="1:28" s="57" customFormat="1" x14ac:dyDescent="0.25">
      <c r="A3" s="65" t="s">
        <v>59</v>
      </c>
      <c r="B3" s="36">
        <v>1990</v>
      </c>
      <c r="C3" s="65" t="s">
        <v>242</v>
      </c>
      <c r="D3" s="65" t="s">
        <v>322</v>
      </c>
      <c r="E3" s="65" t="s">
        <v>91</v>
      </c>
      <c r="F3" s="38" t="s">
        <v>237</v>
      </c>
      <c r="G3" s="38">
        <v>8</v>
      </c>
      <c r="H3" s="38">
        <v>197</v>
      </c>
      <c r="I3" s="38">
        <v>1</v>
      </c>
      <c r="J3" s="38">
        <f>1030-(8+197+1)</f>
        <v>824</v>
      </c>
      <c r="K3" s="65"/>
      <c r="L3" s="24"/>
      <c r="M3" s="20"/>
      <c r="N3" s="19"/>
    </row>
    <row r="4" spans="1:28" s="57" customFormat="1" x14ac:dyDescent="0.25">
      <c r="A4" s="65" t="s">
        <v>198</v>
      </c>
      <c r="B4" s="36">
        <v>2017</v>
      </c>
      <c r="C4" s="65" t="s">
        <v>242</v>
      </c>
      <c r="D4" s="65" t="s">
        <v>16</v>
      </c>
      <c r="E4" s="65" t="s">
        <v>91</v>
      </c>
      <c r="F4" s="38" t="s">
        <v>257</v>
      </c>
      <c r="G4" s="38">
        <v>3</v>
      </c>
      <c r="H4" s="38">
        <v>474</v>
      </c>
      <c r="I4" s="38">
        <v>18</v>
      </c>
      <c r="J4" s="38">
        <v>1025</v>
      </c>
      <c r="K4" s="36"/>
      <c r="L4" s="24"/>
      <c r="M4" s="20"/>
      <c r="N4" s="23"/>
      <c r="O4" s="20"/>
      <c r="P4" s="20"/>
      <c r="Q4" s="20"/>
      <c r="R4" s="66"/>
    </row>
    <row r="5" spans="1:28" s="20" customFormat="1" x14ac:dyDescent="0.25">
      <c r="A5" s="65" t="s">
        <v>58</v>
      </c>
      <c r="B5" s="36">
        <v>2000</v>
      </c>
      <c r="C5" s="65" t="s">
        <v>242</v>
      </c>
      <c r="D5" s="65" t="s">
        <v>91</v>
      </c>
      <c r="E5" s="65" t="s">
        <v>91</v>
      </c>
      <c r="F5" s="38" t="s">
        <v>237</v>
      </c>
      <c r="G5" s="36">
        <v>26</v>
      </c>
      <c r="H5" s="36">
        <f>3229+499</f>
        <v>3728</v>
      </c>
      <c r="I5" s="36">
        <v>72</v>
      </c>
      <c r="J5" s="36">
        <v>9931</v>
      </c>
      <c r="K5" s="36"/>
      <c r="L5" s="24"/>
      <c r="M5" s="24"/>
      <c r="N5" s="23"/>
      <c r="R5" s="66"/>
    </row>
    <row r="6" spans="1:28" s="20" customFormat="1" ht="15" customHeight="1" x14ac:dyDescent="0.25">
      <c r="A6" s="65" t="s">
        <v>58</v>
      </c>
      <c r="B6" s="36">
        <v>2000</v>
      </c>
      <c r="C6" s="65" t="s">
        <v>242</v>
      </c>
      <c r="D6" s="65" t="s">
        <v>327</v>
      </c>
      <c r="E6" s="65" t="s">
        <v>91</v>
      </c>
      <c r="F6" s="38" t="s">
        <v>237</v>
      </c>
      <c r="G6" s="36">
        <v>3</v>
      </c>
      <c r="H6" s="36">
        <v>3751</v>
      </c>
      <c r="I6" s="36">
        <v>11</v>
      </c>
      <c r="J6" s="36">
        <f t="shared" ref="J6:J13" si="0">13757-(SUM(G6:I6))</f>
        <v>9992</v>
      </c>
      <c r="K6" s="36"/>
      <c r="L6" s="24"/>
      <c r="M6" s="24"/>
      <c r="N6" s="23"/>
      <c r="R6" s="66"/>
    </row>
    <row r="7" spans="1:28" s="20" customFormat="1" x14ac:dyDescent="0.25">
      <c r="A7" s="65" t="s">
        <v>58</v>
      </c>
      <c r="B7" s="36">
        <v>2000</v>
      </c>
      <c r="C7" s="38" t="s">
        <v>242</v>
      </c>
      <c r="D7" s="65" t="s">
        <v>321</v>
      </c>
      <c r="E7" s="65" t="s">
        <v>91</v>
      </c>
      <c r="F7" s="38" t="s">
        <v>237</v>
      </c>
      <c r="G7" s="36">
        <v>23</v>
      </c>
      <c r="H7" s="36">
        <f>3754-23</f>
        <v>3731</v>
      </c>
      <c r="I7" s="36">
        <v>61</v>
      </c>
      <c r="J7" s="36">
        <f t="shared" si="0"/>
        <v>9942</v>
      </c>
      <c r="K7" s="36"/>
      <c r="L7" s="24"/>
      <c r="M7" s="24"/>
      <c r="N7" s="23"/>
      <c r="R7" s="66"/>
    </row>
    <row r="8" spans="1:28" s="20" customFormat="1" x14ac:dyDescent="0.25">
      <c r="A8" s="65" t="s">
        <v>58</v>
      </c>
      <c r="B8" s="36">
        <v>2000</v>
      </c>
      <c r="C8" s="38" t="s">
        <v>242</v>
      </c>
      <c r="D8" s="38" t="s">
        <v>91</v>
      </c>
      <c r="E8" s="65" t="s">
        <v>155</v>
      </c>
      <c r="F8" s="38" t="s">
        <v>237</v>
      </c>
      <c r="G8" s="36">
        <v>21</v>
      </c>
      <c r="H8" s="36">
        <v>3229</v>
      </c>
      <c r="I8" s="36">
        <v>77</v>
      </c>
      <c r="J8" s="36">
        <f t="shared" si="0"/>
        <v>10430</v>
      </c>
      <c r="K8" s="36"/>
      <c r="L8" s="24"/>
      <c r="M8" s="24"/>
      <c r="N8" s="23"/>
      <c r="R8" s="66"/>
    </row>
    <row r="9" spans="1:28" s="20" customFormat="1" x14ac:dyDescent="0.25">
      <c r="A9" s="65" t="s">
        <v>58</v>
      </c>
      <c r="B9" s="36">
        <v>2000</v>
      </c>
      <c r="C9" s="65" t="s">
        <v>242</v>
      </c>
      <c r="D9" s="38" t="s">
        <v>91</v>
      </c>
      <c r="E9" s="65" t="s">
        <v>156</v>
      </c>
      <c r="F9" s="38" t="s">
        <v>237</v>
      </c>
      <c r="G9" s="36">
        <v>5</v>
      </c>
      <c r="H9" s="36">
        <v>499</v>
      </c>
      <c r="I9" s="36">
        <v>93</v>
      </c>
      <c r="J9" s="36">
        <f t="shared" si="0"/>
        <v>13160</v>
      </c>
      <c r="K9" s="36"/>
      <c r="L9" s="24"/>
      <c r="M9" s="24"/>
      <c r="N9" s="23"/>
      <c r="O9" s="24"/>
      <c r="R9" s="66"/>
    </row>
    <row r="10" spans="1:28" s="20" customFormat="1" x14ac:dyDescent="0.25">
      <c r="A10" s="65" t="s">
        <v>58</v>
      </c>
      <c r="B10" s="36">
        <v>2000</v>
      </c>
      <c r="C10" s="38" t="s">
        <v>242</v>
      </c>
      <c r="D10" s="38" t="s">
        <v>321</v>
      </c>
      <c r="E10" s="65" t="s">
        <v>155</v>
      </c>
      <c r="F10" s="38" t="s">
        <v>237</v>
      </c>
      <c r="G10" s="36">
        <v>18</v>
      </c>
      <c r="H10" s="36">
        <v>3232</v>
      </c>
      <c r="I10" s="36">
        <v>66</v>
      </c>
      <c r="J10" s="36">
        <f t="shared" si="0"/>
        <v>10441</v>
      </c>
      <c r="K10" s="36"/>
      <c r="L10" s="24"/>
      <c r="M10" s="24"/>
      <c r="N10" s="23"/>
      <c r="O10" s="24"/>
      <c r="R10" s="66"/>
    </row>
    <row r="11" spans="1:28" s="20" customFormat="1" x14ac:dyDescent="0.25">
      <c r="A11" s="65" t="s">
        <v>58</v>
      </c>
      <c r="B11" s="36">
        <v>2000</v>
      </c>
      <c r="C11" s="65" t="s">
        <v>242</v>
      </c>
      <c r="D11" s="38" t="s">
        <v>321</v>
      </c>
      <c r="E11" s="65" t="s">
        <v>156</v>
      </c>
      <c r="F11" s="38" t="s">
        <v>237</v>
      </c>
      <c r="G11" s="36">
        <v>5</v>
      </c>
      <c r="H11" s="36">
        <v>499</v>
      </c>
      <c r="I11" s="36">
        <v>79</v>
      </c>
      <c r="J11" s="36">
        <f t="shared" si="0"/>
        <v>13174</v>
      </c>
      <c r="K11" s="36"/>
      <c r="L11" s="24"/>
      <c r="M11" s="24"/>
      <c r="N11" s="23"/>
      <c r="O11" s="24"/>
      <c r="R11" s="66"/>
    </row>
    <row r="12" spans="1:28" s="20" customFormat="1" x14ac:dyDescent="0.25">
      <c r="A12" s="65" t="s">
        <v>58</v>
      </c>
      <c r="B12" s="36">
        <v>2000</v>
      </c>
      <c r="C12" s="38" t="s">
        <v>242</v>
      </c>
      <c r="D12" s="38" t="s">
        <v>327</v>
      </c>
      <c r="E12" s="65" t="s">
        <v>137</v>
      </c>
      <c r="F12" s="38" t="s">
        <v>237</v>
      </c>
      <c r="G12" s="36">
        <v>3</v>
      </c>
      <c r="H12" s="36">
        <v>3247</v>
      </c>
      <c r="I12" s="36">
        <v>11</v>
      </c>
      <c r="J12" s="36">
        <f t="shared" si="0"/>
        <v>10496</v>
      </c>
      <c r="K12" s="36"/>
      <c r="L12" s="24"/>
      <c r="M12" s="24"/>
      <c r="N12" s="23"/>
      <c r="O12" s="24"/>
      <c r="R12" s="66"/>
    </row>
    <row r="13" spans="1:28" s="20" customFormat="1" x14ac:dyDescent="0.25">
      <c r="A13" s="65" t="s">
        <v>58</v>
      </c>
      <c r="B13" s="36">
        <v>2000</v>
      </c>
      <c r="C13" s="65" t="s">
        <v>242</v>
      </c>
      <c r="D13" s="38" t="s">
        <v>327</v>
      </c>
      <c r="E13" s="65" t="s">
        <v>156</v>
      </c>
      <c r="F13" s="38" t="s">
        <v>237</v>
      </c>
      <c r="G13" s="36">
        <v>0</v>
      </c>
      <c r="H13" s="36">
        <v>504</v>
      </c>
      <c r="I13" s="36">
        <v>14</v>
      </c>
      <c r="J13" s="36">
        <f t="shared" si="0"/>
        <v>13239</v>
      </c>
      <c r="K13" s="36"/>
      <c r="L13" s="24"/>
      <c r="M13" s="24"/>
      <c r="N13" s="23"/>
      <c r="O13" s="24"/>
      <c r="R13" s="66"/>
    </row>
    <row r="14" spans="1:28" s="20" customFormat="1" x14ac:dyDescent="0.25">
      <c r="A14" s="65" t="s">
        <v>204</v>
      </c>
      <c r="B14" s="36">
        <v>2000</v>
      </c>
      <c r="C14" s="65" t="s">
        <v>242</v>
      </c>
      <c r="D14" s="38" t="s">
        <v>340</v>
      </c>
      <c r="E14" s="65" t="s">
        <v>91</v>
      </c>
      <c r="F14" s="38" t="s">
        <v>237</v>
      </c>
      <c r="G14" s="36">
        <v>3</v>
      </c>
      <c r="H14" s="36">
        <v>134</v>
      </c>
      <c r="I14" s="36">
        <v>1</v>
      </c>
      <c r="J14" s="36">
        <v>926</v>
      </c>
      <c r="K14" s="36"/>
      <c r="L14" s="24"/>
      <c r="M14" s="24"/>
      <c r="N14" s="23"/>
      <c r="O14" s="24"/>
      <c r="R14" s="66"/>
      <c r="V14" s="23"/>
      <c r="W14" s="24"/>
      <c r="X14" s="24"/>
      <c r="Y14" s="24"/>
      <c r="AB14" s="56"/>
    </row>
    <row r="15" spans="1:28" x14ac:dyDescent="0.25">
      <c r="A15" s="65" t="s">
        <v>63</v>
      </c>
      <c r="B15" s="36">
        <v>2008</v>
      </c>
      <c r="C15" s="65" t="s">
        <v>242</v>
      </c>
      <c r="D15" s="38" t="s">
        <v>164</v>
      </c>
      <c r="E15" s="65" t="s">
        <v>91</v>
      </c>
      <c r="F15" s="38" t="s">
        <v>257</v>
      </c>
      <c r="G15" s="38">
        <v>1</v>
      </c>
      <c r="H15" s="38">
        <v>68</v>
      </c>
      <c r="I15" s="38">
        <v>0</v>
      </c>
      <c r="J15" s="38">
        <f>202-(SUM(G15:I15))</f>
        <v>133</v>
      </c>
      <c r="K15" s="65"/>
      <c r="L15" s="23"/>
      <c r="M15" s="19"/>
      <c r="N15" s="23"/>
      <c r="O15" s="24"/>
      <c r="P15" s="20"/>
      <c r="Q15" s="20"/>
      <c r="R15" s="66"/>
      <c r="V15" s="23"/>
      <c r="W15" s="24"/>
      <c r="X15" s="24"/>
      <c r="Y15" s="24"/>
      <c r="AB15" s="28"/>
    </row>
    <row r="16" spans="1:28" x14ac:dyDescent="0.25">
      <c r="A16" s="38" t="s">
        <v>293</v>
      </c>
      <c r="B16" s="38">
        <v>2003</v>
      </c>
      <c r="C16" s="38" t="s">
        <v>242</v>
      </c>
      <c r="D16" s="38" t="s">
        <v>16</v>
      </c>
      <c r="E16" s="65" t="s">
        <v>91</v>
      </c>
      <c r="F16" s="38" t="s">
        <v>257</v>
      </c>
      <c r="G16" s="38">
        <v>1</v>
      </c>
      <c r="H16" s="38">
        <v>117</v>
      </c>
      <c r="I16" s="38">
        <v>1</v>
      </c>
      <c r="J16" s="38">
        <v>114</v>
      </c>
      <c r="K16" s="38"/>
      <c r="L16" s="59"/>
      <c r="N16" s="23"/>
      <c r="O16" s="24"/>
      <c r="P16" s="24"/>
      <c r="Q16" s="24"/>
      <c r="R16" s="66"/>
      <c r="V16" s="50"/>
      <c r="W16" s="24"/>
      <c r="X16" s="24"/>
      <c r="Y16" s="24"/>
      <c r="AB16" s="28"/>
    </row>
    <row r="17" spans="1:30" x14ac:dyDescent="0.25">
      <c r="A17" s="65" t="s">
        <v>210</v>
      </c>
      <c r="B17" s="36">
        <v>1995</v>
      </c>
      <c r="C17" s="65" t="s">
        <v>242</v>
      </c>
      <c r="D17" s="65" t="s">
        <v>16</v>
      </c>
      <c r="E17" s="65" t="s">
        <v>91</v>
      </c>
      <c r="F17" s="38" t="s">
        <v>237</v>
      </c>
      <c r="G17" s="36">
        <v>2</v>
      </c>
      <c r="H17" s="36">
        <v>548</v>
      </c>
      <c r="I17" s="36">
        <v>0</v>
      </c>
      <c r="J17" s="36">
        <v>550</v>
      </c>
      <c r="K17" s="38"/>
      <c r="L17" s="59"/>
      <c r="N17" s="23"/>
      <c r="O17" s="24"/>
      <c r="P17" s="20"/>
      <c r="Q17" s="20"/>
      <c r="R17" s="66"/>
      <c r="V17" s="50"/>
      <c r="W17" s="59"/>
      <c r="X17" s="59"/>
      <c r="Y17" s="59"/>
    </row>
    <row r="18" spans="1:30" x14ac:dyDescent="0.25">
      <c r="A18" s="65" t="s">
        <v>92</v>
      </c>
      <c r="B18" s="36">
        <v>2015</v>
      </c>
      <c r="C18" s="65" t="s">
        <v>242</v>
      </c>
      <c r="D18" s="37" t="s">
        <v>16</v>
      </c>
      <c r="E18" s="65" t="s">
        <v>91</v>
      </c>
      <c r="F18" s="38" t="s">
        <v>237</v>
      </c>
      <c r="G18" s="36">
        <v>3</v>
      </c>
      <c r="H18" s="36">
        <v>1259</v>
      </c>
      <c r="I18" s="36">
        <v>11</v>
      </c>
      <c r="J18" s="36">
        <f>5166-(SUM(G18:I18))</f>
        <v>3893</v>
      </c>
      <c r="K18" s="65"/>
      <c r="L18" s="23"/>
      <c r="M18" s="23"/>
      <c r="N18" s="23"/>
      <c r="O18" s="24"/>
      <c r="P18" s="24"/>
      <c r="Q18" s="24"/>
      <c r="R18" s="66"/>
      <c r="V18" s="50"/>
      <c r="W18" s="59"/>
      <c r="X18" s="59"/>
      <c r="Y18" s="59"/>
    </row>
    <row r="19" spans="1:30" x14ac:dyDescent="0.25">
      <c r="A19" s="65" t="s">
        <v>92</v>
      </c>
      <c r="B19" s="36">
        <v>2015</v>
      </c>
      <c r="C19" s="65" t="s">
        <v>242</v>
      </c>
      <c r="D19" s="37" t="s">
        <v>16</v>
      </c>
      <c r="E19" s="65" t="s">
        <v>155</v>
      </c>
      <c r="F19" s="38" t="s">
        <v>237</v>
      </c>
      <c r="G19" s="36">
        <v>3</v>
      </c>
      <c r="H19" s="36">
        <v>1216</v>
      </c>
      <c r="I19" s="36">
        <v>11</v>
      </c>
      <c r="J19" s="36">
        <v>3936</v>
      </c>
      <c r="K19" s="65"/>
      <c r="L19" s="23"/>
      <c r="M19" s="23"/>
      <c r="N19" s="23"/>
      <c r="O19" s="24"/>
      <c r="P19" s="20"/>
      <c r="Q19" s="20"/>
      <c r="R19" s="66"/>
    </row>
    <row r="20" spans="1:30" x14ac:dyDescent="0.25">
      <c r="A20" s="65" t="s">
        <v>92</v>
      </c>
      <c r="B20" s="36">
        <v>2015</v>
      </c>
      <c r="C20" s="65" t="s">
        <v>242</v>
      </c>
      <c r="D20" s="37" t="s">
        <v>16</v>
      </c>
      <c r="E20" s="65" t="s">
        <v>156</v>
      </c>
      <c r="F20" s="38" t="s">
        <v>237</v>
      </c>
      <c r="G20" s="36">
        <v>0</v>
      </c>
      <c r="H20" s="36">
        <v>171</v>
      </c>
      <c r="I20" s="36">
        <v>14</v>
      </c>
      <c r="J20" s="36">
        <v>4981</v>
      </c>
      <c r="K20" s="65"/>
      <c r="L20" s="23"/>
      <c r="M20" s="23"/>
      <c r="N20" s="23"/>
      <c r="O20" s="24"/>
      <c r="P20" s="20"/>
      <c r="Q20" s="20"/>
      <c r="R20" s="66"/>
    </row>
    <row r="21" spans="1:30" x14ac:dyDescent="0.25">
      <c r="A21" s="65" t="s">
        <v>212</v>
      </c>
      <c r="B21" s="36">
        <v>1995</v>
      </c>
      <c r="C21" s="65" t="s">
        <v>242</v>
      </c>
      <c r="D21" s="65" t="s">
        <v>327</v>
      </c>
      <c r="E21" s="65" t="s">
        <v>91</v>
      </c>
      <c r="F21" s="38" t="s">
        <v>237</v>
      </c>
      <c r="G21" s="36">
        <v>0</v>
      </c>
      <c r="H21" s="36">
        <f>2191+326</f>
        <v>2517</v>
      </c>
      <c r="I21" s="36">
        <v>2</v>
      </c>
      <c r="J21" s="36">
        <v>6046</v>
      </c>
      <c r="K21" s="38"/>
      <c r="L21" s="59"/>
      <c r="N21" s="23"/>
      <c r="O21" s="24"/>
      <c r="P21" s="20"/>
      <c r="Q21" s="20"/>
      <c r="R21" s="66"/>
    </row>
    <row r="22" spans="1:30" x14ac:dyDescent="0.25">
      <c r="A22" s="65" t="s">
        <v>212</v>
      </c>
      <c r="B22" s="36">
        <v>1995</v>
      </c>
      <c r="C22" s="65" t="s">
        <v>242</v>
      </c>
      <c r="D22" s="65" t="s">
        <v>327</v>
      </c>
      <c r="E22" s="65" t="s">
        <v>155</v>
      </c>
      <c r="F22" s="38" t="s">
        <v>237</v>
      </c>
      <c r="G22" s="36">
        <v>0</v>
      </c>
      <c r="H22" s="36">
        <v>2191</v>
      </c>
      <c r="I22" s="36">
        <v>2</v>
      </c>
      <c r="J22" s="36">
        <f>(326+2191+6048)-SUM(G22:I22)</f>
        <v>6372</v>
      </c>
      <c r="K22" s="38"/>
      <c r="L22" s="59"/>
      <c r="N22" s="23"/>
      <c r="O22" s="24"/>
      <c r="P22" s="24"/>
      <c r="Q22" s="24"/>
      <c r="R22" s="66"/>
    </row>
    <row r="23" spans="1:30" x14ac:dyDescent="0.25">
      <c r="A23" s="65" t="s">
        <v>212</v>
      </c>
      <c r="B23" s="36">
        <v>1995</v>
      </c>
      <c r="C23" s="65" t="s">
        <v>242</v>
      </c>
      <c r="D23" s="65" t="s">
        <v>327</v>
      </c>
      <c r="E23" s="65" t="s">
        <v>156</v>
      </c>
      <c r="F23" s="38" t="s">
        <v>237</v>
      </c>
      <c r="G23" s="36">
        <v>0</v>
      </c>
      <c r="H23" s="36">
        <v>326</v>
      </c>
      <c r="I23" s="36">
        <v>2</v>
      </c>
      <c r="J23" s="36">
        <f>(326+2191+6048)-SUM(G23:I23)</f>
        <v>8237</v>
      </c>
      <c r="K23" s="38"/>
      <c r="L23" s="59"/>
      <c r="N23" s="23"/>
      <c r="O23" s="24"/>
      <c r="P23" s="20"/>
      <c r="Q23" s="20"/>
      <c r="R23" s="66"/>
    </row>
    <row r="24" spans="1:30" x14ac:dyDescent="0.25">
      <c r="A24" s="65" t="s">
        <v>212</v>
      </c>
      <c r="B24" s="36">
        <v>1997</v>
      </c>
      <c r="C24" s="65" t="s">
        <v>242</v>
      </c>
      <c r="D24" s="65" t="s">
        <v>321</v>
      </c>
      <c r="E24" s="65" t="s">
        <v>91</v>
      </c>
      <c r="F24" s="38" t="s">
        <v>237</v>
      </c>
      <c r="G24" s="36">
        <v>12</v>
      </c>
      <c r="H24" s="36">
        <v>2365</v>
      </c>
      <c r="I24" s="36">
        <v>57</v>
      </c>
      <c r="J24" s="36">
        <v>4826</v>
      </c>
      <c r="K24" s="38"/>
      <c r="L24" s="59"/>
      <c r="N24" s="23"/>
      <c r="O24" s="24"/>
      <c r="P24" s="20"/>
      <c r="Q24" s="20"/>
      <c r="R24" s="66"/>
    </row>
    <row r="25" spans="1:30" s="59" customFormat="1" x14ac:dyDescent="0.25">
      <c r="A25" s="65" t="s">
        <v>212</v>
      </c>
      <c r="B25" s="36">
        <v>1997</v>
      </c>
      <c r="C25" s="65" t="s">
        <v>242</v>
      </c>
      <c r="D25" s="65" t="s">
        <v>326</v>
      </c>
      <c r="E25" s="65" t="s">
        <v>91</v>
      </c>
      <c r="F25" s="38" t="s">
        <v>237</v>
      </c>
      <c r="G25" s="36">
        <v>23</v>
      </c>
      <c r="H25" s="36">
        <v>3735</v>
      </c>
      <c r="I25" s="36">
        <v>117</v>
      </c>
      <c r="J25" s="36">
        <f>13875-SUM(G25:I25)</f>
        <v>10000</v>
      </c>
      <c r="K25" s="38"/>
      <c r="N25" s="23"/>
      <c r="O25" s="24"/>
      <c r="P25" s="20"/>
      <c r="Q25" s="20"/>
      <c r="R25" s="66"/>
    </row>
    <row r="26" spans="1:30" x14ac:dyDescent="0.25">
      <c r="A26" s="38" t="s">
        <v>114</v>
      </c>
      <c r="B26" s="38">
        <v>1988</v>
      </c>
      <c r="C26" s="65" t="s">
        <v>242</v>
      </c>
      <c r="D26" s="38" t="s">
        <v>164</v>
      </c>
      <c r="E26" s="65" t="s">
        <v>91</v>
      </c>
      <c r="F26" s="65" t="s">
        <v>237</v>
      </c>
      <c r="G26" s="38">
        <v>0</v>
      </c>
      <c r="H26" s="38">
        <v>158</v>
      </c>
      <c r="I26" s="36">
        <v>7</v>
      </c>
      <c r="J26" s="36">
        <v>950</v>
      </c>
      <c r="K26" s="38"/>
      <c r="L26" s="59"/>
      <c r="N26" s="23"/>
      <c r="O26" s="24"/>
      <c r="P26" s="24"/>
      <c r="Q26" s="24"/>
      <c r="R26" s="66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x14ac:dyDescent="0.25">
      <c r="A27" s="38" t="s">
        <v>114</v>
      </c>
      <c r="B27" s="38">
        <v>1988</v>
      </c>
      <c r="C27" s="65" t="s">
        <v>242</v>
      </c>
      <c r="D27" s="38" t="s">
        <v>164</v>
      </c>
      <c r="E27" s="65" t="s">
        <v>155</v>
      </c>
      <c r="F27" s="65" t="s">
        <v>237</v>
      </c>
      <c r="G27" s="38">
        <v>0</v>
      </c>
      <c r="H27" s="38">
        <v>135</v>
      </c>
      <c r="I27" s="36">
        <v>7</v>
      </c>
      <c r="J27" s="36">
        <v>973</v>
      </c>
      <c r="K27" s="38"/>
      <c r="L27" s="59"/>
      <c r="N27" s="23"/>
      <c r="O27" s="24"/>
      <c r="P27" s="20"/>
      <c r="Q27" s="20"/>
      <c r="R27" s="66"/>
      <c r="S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x14ac:dyDescent="0.25">
      <c r="A28" s="38" t="s">
        <v>114</v>
      </c>
      <c r="B28" s="38">
        <v>1988</v>
      </c>
      <c r="C28" s="65" t="s">
        <v>242</v>
      </c>
      <c r="D28" s="38" t="s">
        <v>164</v>
      </c>
      <c r="E28" s="65" t="s">
        <v>156</v>
      </c>
      <c r="F28" s="65" t="s">
        <v>237</v>
      </c>
      <c r="G28" s="38">
        <v>0</v>
      </c>
      <c r="H28" s="38">
        <v>23</v>
      </c>
      <c r="I28" s="36">
        <v>7</v>
      </c>
      <c r="J28" s="36">
        <v>1085</v>
      </c>
      <c r="K28" s="38"/>
      <c r="L28" s="59"/>
      <c r="N28" s="23"/>
      <c r="O28" s="24"/>
      <c r="P28" s="20"/>
      <c r="Q28" s="20"/>
      <c r="R28" s="66"/>
      <c r="S28" s="20"/>
      <c r="U28" s="20"/>
      <c r="V28" s="20"/>
      <c r="W28" s="20"/>
      <c r="X28" s="20"/>
      <c r="Y28" s="57"/>
      <c r="Z28" s="20"/>
      <c r="AA28" s="20"/>
      <c r="AB28" s="20"/>
      <c r="AC28" s="20"/>
      <c r="AD28" s="20"/>
    </row>
    <row r="29" spans="1:30" x14ac:dyDescent="0.25">
      <c r="A29" s="38" t="s">
        <v>134</v>
      </c>
      <c r="B29" s="38">
        <v>1992</v>
      </c>
      <c r="C29" s="38" t="s">
        <v>242</v>
      </c>
      <c r="D29" s="38" t="s">
        <v>164</v>
      </c>
      <c r="E29" s="65" t="s">
        <v>91</v>
      </c>
      <c r="F29" s="65" t="s">
        <v>237</v>
      </c>
      <c r="G29" s="36">
        <v>0</v>
      </c>
      <c r="H29" s="36">
        <v>167</v>
      </c>
      <c r="I29" s="36">
        <v>1</v>
      </c>
      <c r="J29" s="38">
        <f>706-(SUM(G29:I29))</f>
        <v>538</v>
      </c>
      <c r="K29" s="38"/>
      <c r="L29" s="59"/>
      <c r="N29" s="23"/>
      <c r="O29" s="24"/>
      <c r="P29" s="20"/>
      <c r="Q29" s="20"/>
      <c r="R29" s="66"/>
      <c r="S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38" t="s">
        <v>134</v>
      </c>
      <c r="B30" s="38">
        <v>1992</v>
      </c>
      <c r="C30" s="38" t="s">
        <v>242</v>
      </c>
      <c r="D30" s="38" t="s">
        <v>164</v>
      </c>
      <c r="E30" s="65" t="s">
        <v>246</v>
      </c>
      <c r="F30" s="65" t="s">
        <v>237</v>
      </c>
      <c r="G30" s="36">
        <v>0</v>
      </c>
      <c r="H30" s="36">
        <v>38</v>
      </c>
      <c r="I30" s="36">
        <v>1</v>
      </c>
      <c r="J30" s="38">
        <v>581</v>
      </c>
      <c r="K30" s="38"/>
      <c r="L30" s="59"/>
      <c r="N30" s="23"/>
      <c r="O30" s="24"/>
      <c r="P30" s="24"/>
      <c r="Q30" s="24"/>
      <c r="R30" s="66"/>
      <c r="S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38" t="s">
        <v>134</v>
      </c>
      <c r="B31" s="38">
        <v>1992</v>
      </c>
      <c r="C31" s="38" t="s">
        <v>242</v>
      </c>
      <c r="D31" s="38" t="s">
        <v>164</v>
      </c>
      <c r="E31" s="65" t="s">
        <v>245</v>
      </c>
      <c r="F31" s="65" t="s">
        <v>237</v>
      </c>
      <c r="G31" s="36">
        <v>0</v>
      </c>
      <c r="H31" s="36">
        <v>43</v>
      </c>
      <c r="I31" s="36">
        <v>1</v>
      </c>
      <c r="J31" s="38">
        <v>576</v>
      </c>
      <c r="K31" s="38"/>
      <c r="L31" s="59"/>
      <c r="N31" s="23"/>
      <c r="O31" s="24"/>
      <c r="P31" s="20"/>
      <c r="Q31" s="20"/>
      <c r="R31" s="66"/>
      <c r="S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38" t="s">
        <v>134</v>
      </c>
      <c r="B32" s="38">
        <v>1992</v>
      </c>
      <c r="C32" s="38" t="s">
        <v>242</v>
      </c>
      <c r="D32" s="38" t="s">
        <v>164</v>
      </c>
      <c r="E32" s="65" t="s">
        <v>155</v>
      </c>
      <c r="F32" s="65" t="s">
        <v>237</v>
      </c>
      <c r="G32" s="36">
        <v>0</v>
      </c>
      <c r="H32" s="36">
        <v>153</v>
      </c>
      <c r="I32" s="36">
        <v>1</v>
      </c>
      <c r="J32" s="38">
        <v>552</v>
      </c>
      <c r="K32" s="38"/>
      <c r="L32" s="59"/>
      <c r="N32" s="23"/>
      <c r="O32" s="24"/>
      <c r="P32" s="20"/>
      <c r="Q32" s="20"/>
      <c r="R32" s="66"/>
      <c r="S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38" t="s">
        <v>134</v>
      </c>
      <c r="B33" s="38">
        <v>1992</v>
      </c>
      <c r="C33" s="38" t="s">
        <v>242</v>
      </c>
      <c r="D33" s="38" t="s">
        <v>164</v>
      </c>
      <c r="E33" s="65" t="s">
        <v>156</v>
      </c>
      <c r="F33" s="65" t="s">
        <v>237</v>
      </c>
      <c r="G33" s="36">
        <v>0</v>
      </c>
      <c r="H33" s="36">
        <v>14</v>
      </c>
      <c r="I33" s="36">
        <v>1</v>
      </c>
      <c r="J33" s="38">
        <v>691</v>
      </c>
      <c r="K33" s="38"/>
      <c r="L33" s="59"/>
      <c r="N33" s="23"/>
      <c r="O33" s="24"/>
      <c r="P33" s="20"/>
      <c r="Q33" s="20"/>
      <c r="R33" s="66"/>
      <c r="S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38" t="s">
        <v>236</v>
      </c>
      <c r="B34" s="38">
        <v>2008</v>
      </c>
      <c r="C34" s="38" t="s">
        <v>242</v>
      </c>
      <c r="D34" s="38" t="s">
        <v>164</v>
      </c>
      <c r="E34" s="65" t="s">
        <v>91</v>
      </c>
      <c r="F34" s="65" t="s">
        <v>237</v>
      </c>
      <c r="G34" s="36">
        <v>1</v>
      </c>
      <c r="H34" s="36">
        <v>159</v>
      </c>
      <c r="I34" s="36">
        <v>0</v>
      </c>
      <c r="J34" s="38">
        <v>160</v>
      </c>
      <c r="K34" s="38"/>
      <c r="L34" s="59"/>
      <c r="N34" s="23"/>
      <c r="O34" s="59"/>
      <c r="P34" s="59"/>
      <c r="Q34" s="24"/>
      <c r="R34" s="66"/>
      <c r="S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38" t="s">
        <v>236</v>
      </c>
      <c r="B35" s="38">
        <v>2008</v>
      </c>
      <c r="C35" s="38" t="s">
        <v>242</v>
      </c>
      <c r="D35" s="38" t="s">
        <v>164</v>
      </c>
      <c r="E35" s="38" t="s">
        <v>155</v>
      </c>
      <c r="F35" s="65" t="s">
        <v>237</v>
      </c>
      <c r="G35" s="36">
        <v>0</v>
      </c>
      <c r="H35" s="36">
        <v>128</v>
      </c>
      <c r="I35" s="36">
        <v>1</v>
      </c>
      <c r="J35" s="38">
        <f>159+32</f>
        <v>191</v>
      </c>
      <c r="K35" s="38"/>
      <c r="L35" s="59"/>
      <c r="N35" s="23"/>
      <c r="O35" s="59"/>
      <c r="R35" s="66"/>
      <c r="S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38" t="s">
        <v>236</v>
      </c>
      <c r="B36" s="38">
        <v>2008</v>
      </c>
      <c r="C36" s="38" t="s">
        <v>242</v>
      </c>
      <c r="D36" s="38" t="s">
        <v>164</v>
      </c>
      <c r="E36" s="38" t="s">
        <v>156</v>
      </c>
      <c r="F36" s="65" t="s">
        <v>237</v>
      </c>
      <c r="G36" s="36">
        <v>1</v>
      </c>
      <c r="H36" s="36">
        <v>31</v>
      </c>
      <c r="I36" s="36">
        <v>0</v>
      </c>
      <c r="J36" s="38">
        <v>288</v>
      </c>
      <c r="K36" s="38"/>
      <c r="L36" s="59"/>
      <c r="N36" s="23"/>
      <c r="O36" s="59"/>
      <c r="R36" s="66"/>
      <c r="S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38" t="s">
        <v>128</v>
      </c>
      <c r="B37" s="38">
        <v>2009</v>
      </c>
      <c r="C37" s="38" t="s">
        <v>242</v>
      </c>
      <c r="D37" s="38" t="s">
        <v>164</v>
      </c>
      <c r="E37" s="65" t="s">
        <v>91</v>
      </c>
      <c r="F37" s="65" t="s">
        <v>237</v>
      </c>
      <c r="G37" s="38">
        <v>7</v>
      </c>
      <c r="H37" s="38">
        <v>52</v>
      </c>
      <c r="I37" s="38">
        <v>34</v>
      </c>
      <c r="J37" s="38">
        <f>541-(SUM(G37:I37))</f>
        <v>448</v>
      </c>
      <c r="K37" s="38"/>
      <c r="L37" s="59"/>
      <c r="N37" s="23"/>
      <c r="O37" s="59"/>
      <c r="R37" s="66"/>
      <c r="S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28" customFormat="1" x14ac:dyDescent="0.25">
      <c r="A38" s="23"/>
      <c r="B38" s="24"/>
      <c r="C38" s="23"/>
      <c r="D38" s="23"/>
      <c r="E38" s="23"/>
      <c r="F38" s="59"/>
      <c r="G38" s="24"/>
      <c r="H38" s="24"/>
      <c r="I38" s="24"/>
      <c r="J38" s="64"/>
      <c r="K38" s="59"/>
      <c r="L38" s="59"/>
      <c r="N38" s="23"/>
      <c r="O38" s="24"/>
      <c r="P38" s="56"/>
      <c r="Q38" s="56"/>
      <c r="R38" s="66"/>
      <c r="W38" s="20"/>
      <c r="X38" s="20"/>
      <c r="Y38" s="20"/>
      <c r="Z38" s="20"/>
      <c r="AA38" s="20"/>
      <c r="AB38" s="20"/>
      <c r="AC38" s="20"/>
      <c r="AD38" s="20"/>
    </row>
    <row r="39" spans="1:30" s="28" customFormat="1" x14ac:dyDescent="0.25">
      <c r="A39" s="39" t="s">
        <v>364</v>
      </c>
      <c r="B39" s="22"/>
      <c r="C39" s="21"/>
      <c r="D39" s="21"/>
      <c r="E39" s="21"/>
      <c r="F39" s="59"/>
      <c r="G39" s="33"/>
      <c r="H39" s="32"/>
      <c r="I39" s="22"/>
      <c r="J39" s="22"/>
      <c r="K39" s="5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15"/>
      <c r="X39" s="15"/>
      <c r="Y39" s="15"/>
      <c r="Z39" s="15"/>
      <c r="AA39" s="15"/>
      <c r="AB39" s="15"/>
      <c r="AC39" s="56"/>
      <c r="AD39" s="56"/>
    </row>
    <row r="40" spans="1:30" s="28" customFormat="1" x14ac:dyDescent="0.25">
      <c r="A40" s="23" t="s">
        <v>195</v>
      </c>
      <c r="B40" s="24" t="s">
        <v>0</v>
      </c>
      <c r="C40" s="23"/>
      <c r="D40" s="23"/>
      <c r="E40" s="23" t="s">
        <v>363</v>
      </c>
      <c r="F40" s="59"/>
      <c r="G40" s="57" t="s">
        <v>249</v>
      </c>
      <c r="H40" s="24" t="s">
        <v>170</v>
      </c>
      <c r="I40" s="24" t="s">
        <v>171</v>
      </c>
      <c r="J40" s="24" t="s">
        <v>172</v>
      </c>
      <c r="K40" s="5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15"/>
      <c r="X40" s="15"/>
      <c r="Y40" s="15"/>
      <c r="Z40" s="15"/>
      <c r="AA40" s="15"/>
      <c r="AB40" s="15"/>
      <c r="AC40" s="56"/>
      <c r="AD40" s="56"/>
    </row>
    <row r="41" spans="1:30" s="28" customFormat="1" x14ac:dyDescent="0.25">
      <c r="A41" s="34" t="s">
        <v>58</v>
      </c>
      <c r="B41" s="35">
        <v>2000</v>
      </c>
      <c r="C41" s="15" t="s">
        <v>242</v>
      </c>
      <c r="D41" s="15" t="s">
        <v>91</v>
      </c>
      <c r="E41" s="57" t="s">
        <v>365</v>
      </c>
      <c r="F41" s="16" t="s">
        <v>237</v>
      </c>
      <c r="G41" s="57" t="s">
        <v>275</v>
      </c>
      <c r="H41" s="36">
        <v>21</v>
      </c>
      <c r="I41" s="36">
        <v>3229</v>
      </c>
      <c r="J41" s="36">
        <v>72</v>
      </c>
      <c r="K41" s="23"/>
      <c r="L41" s="69"/>
      <c r="M41" s="38"/>
      <c r="N41" s="70"/>
      <c r="O41" s="15"/>
      <c r="P41" s="38"/>
      <c r="Q41" s="38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56"/>
      <c r="AD41" s="56"/>
    </row>
    <row r="42" spans="1:30" s="28" customFormat="1" x14ac:dyDescent="0.25">
      <c r="A42" s="34" t="s">
        <v>58</v>
      </c>
      <c r="B42" s="35">
        <v>2000</v>
      </c>
      <c r="C42" s="34" t="s">
        <v>242</v>
      </c>
      <c r="D42" s="15" t="s">
        <v>91</v>
      </c>
      <c r="E42" s="57" t="s">
        <v>366</v>
      </c>
      <c r="F42" s="16" t="s">
        <v>237</v>
      </c>
      <c r="G42" s="57" t="s">
        <v>275</v>
      </c>
      <c r="H42" s="36">
        <v>5</v>
      </c>
      <c r="I42" s="36">
        <v>499</v>
      </c>
      <c r="J42" s="36">
        <v>72</v>
      </c>
      <c r="K42" s="23"/>
      <c r="L42" s="69"/>
      <c r="M42" s="38"/>
      <c r="N42" s="70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56"/>
      <c r="AD42" s="56"/>
    </row>
    <row r="43" spans="1:30" s="28" customFormat="1" x14ac:dyDescent="0.25">
      <c r="A43" s="34" t="s">
        <v>58</v>
      </c>
      <c r="B43" s="35">
        <v>2000</v>
      </c>
      <c r="C43" s="34" t="s">
        <v>242</v>
      </c>
      <c r="D43" s="15" t="s">
        <v>91</v>
      </c>
      <c r="E43" s="57" t="s">
        <v>367</v>
      </c>
      <c r="F43" s="16" t="s">
        <v>237</v>
      </c>
      <c r="G43" s="57" t="s">
        <v>275</v>
      </c>
      <c r="H43" s="36">
        <v>5</v>
      </c>
      <c r="I43" s="36">
        <v>499</v>
      </c>
      <c r="J43" s="36">
        <v>93</v>
      </c>
      <c r="K43" s="23"/>
      <c r="L43" s="71"/>
      <c r="M43" s="38"/>
      <c r="N43" s="49"/>
      <c r="O43" s="38"/>
      <c r="P43" s="38"/>
      <c r="Q43" s="38"/>
      <c r="R43" s="69"/>
      <c r="S43" s="38"/>
      <c r="T43" s="38"/>
      <c r="U43" s="69"/>
      <c r="V43" s="69"/>
      <c r="W43" s="69"/>
      <c r="X43" s="69"/>
      <c r="Y43" s="69"/>
      <c r="Z43" s="69"/>
      <c r="AA43" s="69"/>
      <c r="AB43" s="69"/>
    </row>
    <row r="44" spans="1:30" s="28" customFormat="1" x14ac:dyDescent="0.25">
      <c r="A44" s="34" t="s">
        <v>92</v>
      </c>
      <c r="B44" s="36">
        <v>2015</v>
      </c>
      <c r="C44" s="34" t="s">
        <v>242</v>
      </c>
      <c r="D44" s="37" t="s">
        <v>16</v>
      </c>
      <c r="E44" s="57" t="s">
        <v>365</v>
      </c>
      <c r="F44" s="38" t="s">
        <v>237</v>
      </c>
      <c r="G44" s="57" t="s">
        <v>275</v>
      </c>
      <c r="H44" s="36">
        <v>3</v>
      </c>
      <c r="I44" s="36">
        <v>1216</v>
      </c>
      <c r="J44" s="36">
        <v>11</v>
      </c>
      <c r="K44" s="23"/>
      <c r="L44" s="71"/>
      <c r="M44" s="38"/>
      <c r="N44" s="49"/>
      <c r="O44" s="38"/>
      <c r="P44" s="38"/>
      <c r="Q44" s="38"/>
      <c r="R44" s="69"/>
      <c r="S44" s="38"/>
      <c r="T44" s="38"/>
      <c r="U44" s="38"/>
      <c r="V44" s="38"/>
      <c r="W44" s="38"/>
      <c r="X44" s="69"/>
      <c r="Y44" s="69"/>
      <c r="Z44" s="69"/>
      <c r="AA44" s="69"/>
      <c r="AB44" s="69"/>
    </row>
    <row r="45" spans="1:30" s="28" customFormat="1" x14ac:dyDescent="0.25">
      <c r="A45" s="34" t="s">
        <v>92</v>
      </c>
      <c r="B45" s="36">
        <v>2015</v>
      </c>
      <c r="C45" s="34" t="s">
        <v>242</v>
      </c>
      <c r="D45" s="37" t="s">
        <v>16</v>
      </c>
      <c r="E45" s="57" t="s">
        <v>366</v>
      </c>
      <c r="F45" s="38" t="s">
        <v>237</v>
      </c>
      <c r="G45" s="57" t="s">
        <v>275</v>
      </c>
      <c r="H45" s="36">
        <v>0</v>
      </c>
      <c r="I45" s="36">
        <v>171</v>
      </c>
      <c r="J45" s="36">
        <v>11</v>
      </c>
      <c r="K45" s="23"/>
      <c r="L45" s="71"/>
      <c r="M45" s="38"/>
      <c r="N45" s="49"/>
      <c r="O45" s="38"/>
      <c r="P45" s="38"/>
      <c r="Q45" s="38"/>
      <c r="R45" s="69"/>
      <c r="S45" s="38"/>
      <c r="T45" s="38"/>
      <c r="U45" s="36"/>
      <c r="V45" s="36"/>
      <c r="W45" s="38"/>
      <c r="X45" s="69"/>
      <c r="Y45" s="69"/>
      <c r="Z45" s="69"/>
      <c r="AA45" s="69"/>
      <c r="AB45" s="69"/>
    </row>
    <row r="46" spans="1:30" s="28" customFormat="1" x14ac:dyDescent="0.25">
      <c r="A46" s="34" t="s">
        <v>92</v>
      </c>
      <c r="B46" s="36">
        <v>2015</v>
      </c>
      <c r="C46" s="34" t="s">
        <v>242</v>
      </c>
      <c r="D46" s="37" t="s">
        <v>16</v>
      </c>
      <c r="E46" s="57" t="s">
        <v>367</v>
      </c>
      <c r="F46" s="38" t="s">
        <v>237</v>
      </c>
      <c r="G46" s="57" t="s">
        <v>275</v>
      </c>
      <c r="H46" s="36">
        <v>0</v>
      </c>
      <c r="I46" s="36">
        <v>171</v>
      </c>
      <c r="J46" s="36">
        <v>14</v>
      </c>
      <c r="K46" s="23"/>
      <c r="L46" s="71"/>
      <c r="M46" s="38"/>
      <c r="N46" s="49"/>
      <c r="O46" s="38"/>
      <c r="P46" s="38"/>
      <c r="Q46" s="38"/>
      <c r="R46" s="69"/>
      <c r="S46" s="38"/>
      <c r="T46" s="38"/>
      <c r="U46" s="36"/>
      <c r="V46" s="36"/>
      <c r="W46" s="38"/>
      <c r="X46" s="69"/>
      <c r="Y46" s="69"/>
      <c r="Z46" s="69"/>
      <c r="AA46" s="69"/>
      <c r="AB46" s="69"/>
    </row>
    <row r="47" spans="1:30" s="28" customFormat="1" x14ac:dyDescent="0.25">
      <c r="A47" s="34" t="s">
        <v>212</v>
      </c>
      <c r="B47" s="35">
        <v>1995</v>
      </c>
      <c r="C47" s="34" t="s">
        <v>242</v>
      </c>
      <c r="D47" s="34" t="s">
        <v>327</v>
      </c>
      <c r="E47" s="57" t="s">
        <v>365</v>
      </c>
      <c r="F47" s="38" t="s">
        <v>237</v>
      </c>
      <c r="G47" s="57" t="s">
        <v>372</v>
      </c>
      <c r="H47" s="35">
        <v>0</v>
      </c>
      <c r="I47" s="35">
        <v>2191</v>
      </c>
      <c r="J47" s="35">
        <v>2</v>
      </c>
      <c r="K47" s="23"/>
      <c r="L47" s="71"/>
      <c r="M47" s="38"/>
      <c r="N47" s="49"/>
      <c r="O47" s="38"/>
      <c r="P47" s="38"/>
      <c r="Q47" s="38"/>
      <c r="R47" s="69"/>
      <c r="S47" s="38"/>
      <c r="T47" s="38"/>
      <c r="U47" s="36"/>
      <c r="V47" s="36"/>
      <c r="W47" s="38"/>
      <c r="X47" s="69"/>
      <c r="Y47" s="69"/>
      <c r="Z47" s="69"/>
      <c r="AA47" s="69"/>
      <c r="AB47" s="69"/>
    </row>
    <row r="48" spans="1:30" s="28" customFormat="1" x14ac:dyDescent="0.25">
      <c r="A48" s="34" t="s">
        <v>212</v>
      </c>
      <c r="B48" s="35">
        <v>1995</v>
      </c>
      <c r="C48" s="34" t="s">
        <v>242</v>
      </c>
      <c r="D48" s="34" t="s">
        <v>327</v>
      </c>
      <c r="E48" s="57" t="s">
        <v>366</v>
      </c>
      <c r="F48" s="38" t="s">
        <v>237</v>
      </c>
      <c r="G48" s="57" t="s">
        <v>372</v>
      </c>
      <c r="H48" s="35">
        <v>0</v>
      </c>
      <c r="I48" s="35">
        <v>326</v>
      </c>
      <c r="J48" s="35">
        <v>2</v>
      </c>
      <c r="K48" s="23"/>
      <c r="L48" s="71"/>
      <c r="M48" s="38"/>
      <c r="N48" s="49"/>
      <c r="O48" s="36"/>
      <c r="P48" s="36"/>
      <c r="Q48" s="38"/>
      <c r="R48" s="69"/>
      <c r="S48" s="69"/>
      <c r="T48" s="69"/>
      <c r="U48" s="38"/>
      <c r="V48" s="38"/>
      <c r="W48" s="38"/>
      <c r="X48" s="69"/>
      <c r="Y48" s="69"/>
      <c r="Z48" s="69"/>
      <c r="AA48" s="69"/>
      <c r="AB48" s="69"/>
    </row>
    <row r="49" spans="1:28" s="28" customFormat="1" x14ac:dyDescent="0.25">
      <c r="A49" s="34" t="s">
        <v>212</v>
      </c>
      <c r="B49" s="35">
        <v>1995</v>
      </c>
      <c r="C49" s="34" t="s">
        <v>242</v>
      </c>
      <c r="D49" s="34" t="s">
        <v>327</v>
      </c>
      <c r="E49" s="57" t="s">
        <v>367</v>
      </c>
      <c r="F49" s="38" t="s">
        <v>237</v>
      </c>
      <c r="G49" s="57" t="s">
        <v>372</v>
      </c>
      <c r="H49" s="35">
        <v>0</v>
      </c>
      <c r="I49" s="35">
        <v>326</v>
      </c>
      <c r="J49" s="35">
        <v>2</v>
      </c>
      <c r="K49" s="23"/>
      <c r="L49" s="71"/>
      <c r="M49" s="38"/>
      <c r="N49" s="49"/>
      <c r="O49" s="36"/>
      <c r="P49" s="36"/>
      <c r="Q49" s="38"/>
      <c r="R49" s="69"/>
      <c r="S49" s="69"/>
      <c r="T49" s="69"/>
      <c r="U49" s="36"/>
      <c r="V49" s="36"/>
      <c r="W49" s="38"/>
      <c r="X49" s="69"/>
      <c r="Y49" s="69"/>
      <c r="Z49" s="69"/>
      <c r="AA49" s="69"/>
      <c r="AB49" s="69"/>
    </row>
    <row r="50" spans="1:28" s="28" customFormat="1" x14ac:dyDescent="0.25">
      <c r="A50" s="15" t="s">
        <v>114</v>
      </c>
      <c r="B50" s="15">
        <v>1988</v>
      </c>
      <c r="C50" s="34" t="s">
        <v>242</v>
      </c>
      <c r="D50" s="15" t="s">
        <v>164</v>
      </c>
      <c r="E50" s="57" t="s">
        <v>365</v>
      </c>
      <c r="F50" s="34" t="s">
        <v>237</v>
      </c>
      <c r="G50" s="57" t="s">
        <v>275</v>
      </c>
      <c r="H50" s="15">
        <v>0</v>
      </c>
      <c r="I50" s="15">
        <v>135</v>
      </c>
      <c r="J50" s="35">
        <v>7</v>
      </c>
      <c r="K50" s="23"/>
      <c r="L50" s="71"/>
      <c r="M50" s="38"/>
      <c r="N50" s="49"/>
      <c r="O50" s="38"/>
      <c r="P50" s="38"/>
      <c r="Q50" s="38"/>
      <c r="R50" s="69"/>
      <c r="S50" s="69"/>
      <c r="T50" s="69"/>
      <c r="U50" s="36"/>
      <c r="V50" s="36"/>
      <c r="W50" s="38"/>
      <c r="X50" s="69"/>
      <c r="Y50" s="69"/>
      <c r="Z50" s="69"/>
      <c r="AA50" s="69"/>
      <c r="AB50" s="69"/>
    </row>
    <row r="51" spans="1:28" s="28" customFormat="1" x14ac:dyDescent="0.25">
      <c r="A51" s="15" t="s">
        <v>114</v>
      </c>
      <c r="B51" s="15">
        <v>1988</v>
      </c>
      <c r="C51" s="34" t="s">
        <v>242</v>
      </c>
      <c r="D51" s="15" t="s">
        <v>164</v>
      </c>
      <c r="E51" s="57" t="s">
        <v>366</v>
      </c>
      <c r="F51" s="34" t="s">
        <v>237</v>
      </c>
      <c r="G51" s="57" t="s">
        <v>275</v>
      </c>
      <c r="H51" s="15">
        <v>0</v>
      </c>
      <c r="I51" s="15">
        <v>23</v>
      </c>
      <c r="J51" s="35">
        <v>7</v>
      </c>
      <c r="K51" s="23"/>
      <c r="L51" s="71"/>
      <c r="M51" s="38"/>
      <c r="N51" s="49"/>
      <c r="O51" s="38"/>
      <c r="P51" s="38"/>
      <c r="Q51" s="38"/>
      <c r="R51" s="69"/>
      <c r="S51" s="69"/>
      <c r="T51" s="69"/>
      <c r="U51" s="38"/>
      <c r="V51" s="38"/>
      <c r="W51" s="38"/>
      <c r="X51" s="69"/>
      <c r="Y51" s="69"/>
      <c r="Z51" s="69"/>
      <c r="AA51" s="69"/>
      <c r="AB51" s="69"/>
    </row>
    <row r="52" spans="1:28" s="28" customFormat="1" x14ac:dyDescent="0.25">
      <c r="A52" s="15" t="s">
        <v>114</v>
      </c>
      <c r="B52" s="15">
        <v>1988</v>
      </c>
      <c r="C52" s="34" t="s">
        <v>242</v>
      </c>
      <c r="D52" s="15" t="s">
        <v>164</v>
      </c>
      <c r="E52" s="57" t="s">
        <v>367</v>
      </c>
      <c r="F52" s="34" t="s">
        <v>237</v>
      </c>
      <c r="G52" s="57" t="s">
        <v>275</v>
      </c>
      <c r="H52" s="15">
        <v>0</v>
      </c>
      <c r="I52" s="15">
        <v>23</v>
      </c>
      <c r="J52" s="35">
        <v>7</v>
      </c>
      <c r="K52" s="23"/>
      <c r="L52" s="71"/>
      <c r="M52" s="38"/>
      <c r="N52" s="49"/>
      <c r="O52" s="36"/>
      <c r="P52" s="36"/>
      <c r="Q52" s="38"/>
      <c r="R52" s="69"/>
      <c r="S52" s="69"/>
      <c r="T52" s="69"/>
      <c r="U52" s="38"/>
      <c r="V52" s="38"/>
      <c r="W52" s="38"/>
      <c r="X52" s="69"/>
      <c r="Y52" s="69"/>
      <c r="Z52" s="69"/>
      <c r="AA52" s="69"/>
      <c r="AB52" s="69"/>
    </row>
    <row r="53" spans="1:28" s="28" customFormat="1" x14ac:dyDescent="0.25">
      <c r="A53" s="15" t="s">
        <v>134</v>
      </c>
      <c r="B53" s="15">
        <v>1992</v>
      </c>
      <c r="C53" s="38" t="s">
        <v>242</v>
      </c>
      <c r="D53" s="15" t="s">
        <v>164</v>
      </c>
      <c r="E53" s="57" t="s">
        <v>365</v>
      </c>
      <c r="F53" s="34" t="s">
        <v>237</v>
      </c>
      <c r="G53" s="57" t="s">
        <v>275</v>
      </c>
      <c r="H53" s="35">
        <v>0</v>
      </c>
      <c r="I53" s="35">
        <v>153</v>
      </c>
      <c r="J53" s="35">
        <v>1</v>
      </c>
      <c r="K53" s="23"/>
      <c r="L53" s="71"/>
      <c r="M53" s="38"/>
      <c r="N53" s="49"/>
      <c r="O53" s="36"/>
      <c r="P53" s="36"/>
      <c r="Q53" s="38"/>
      <c r="R53" s="69"/>
      <c r="S53" s="69"/>
      <c r="T53" s="69"/>
      <c r="U53" s="38"/>
      <c r="V53" s="38"/>
      <c r="W53" s="38"/>
      <c r="X53" s="69"/>
      <c r="Y53" s="69"/>
      <c r="Z53" s="69"/>
      <c r="AA53" s="69"/>
      <c r="AB53" s="69"/>
    </row>
    <row r="54" spans="1:28" s="28" customFormat="1" x14ac:dyDescent="0.25">
      <c r="A54" s="15" t="s">
        <v>134</v>
      </c>
      <c r="B54" s="15">
        <v>1992</v>
      </c>
      <c r="C54" s="38" t="s">
        <v>242</v>
      </c>
      <c r="D54" s="15" t="s">
        <v>164</v>
      </c>
      <c r="E54" s="57" t="s">
        <v>366</v>
      </c>
      <c r="F54" s="34" t="s">
        <v>237</v>
      </c>
      <c r="G54" s="57" t="s">
        <v>275</v>
      </c>
      <c r="H54" s="35">
        <v>0</v>
      </c>
      <c r="I54" s="35">
        <v>14</v>
      </c>
      <c r="J54" s="35">
        <v>1</v>
      </c>
      <c r="K54" s="23"/>
      <c r="L54" s="71"/>
      <c r="M54" s="38"/>
      <c r="N54" s="49"/>
      <c r="O54" s="36"/>
      <c r="P54" s="36"/>
      <c r="Q54" s="38"/>
      <c r="R54" s="69"/>
      <c r="S54" s="69"/>
      <c r="T54" s="69"/>
      <c r="U54" s="38"/>
      <c r="V54" s="38"/>
      <c r="W54" s="38"/>
      <c r="X54" s="69"/>
      <c r="Y54" s="69"/>
      <c r="Z54" s="69"/>
      <c r="AA54" s="69"/>
      <c r="AB54" s="69"/>
    </row>
    <row r="55" spans="1:28" s="28" customFormat="1" x14ac:dyDescent="0.25">
      <c r="A55" s="15" t="s">
        <v>134</v>
      </c>
      <c r="B55" s="15">
        <v>1992</v>
      </c>
      <c r="C55" s="38" t="s">
        <v>242</v>
      </c>
      <c r="D55" s="15" t="s">
        <v>164</v>
      </c>
      <c r="E55" s="57" t="s">
        <v>367</v>
      </c>
      <c r="F55" s="34" t="s">
        <v>237</v>
      </c>
      <c r="G55" s="57" t="s">
        <v>275</v>
      </c>
      <c r="H55" s="35">
        <v>0</v>
      </c>
      <c r="I55" s="35">
        <v>14</v>
      </c>
      <c r="J55" s="35">
        <v>1</v>
      </c>
      <c r="K55" s="23"/>
      <c r="L55" s="71"/>
      <c r="M55" s="38"/>
      <c r="N55" s="49"/>
      <c r="O55" s="36"/>
      <c r="P55" s="36"/>
      <c r="Q55" s="38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</row>
    <row r="56" spans="1:28" s="28" customFormat="1" x14ac:dyDescent="0.25">
      <c r="A56" s="15" t="s">
        <v>236</v>
      </c>
      <c r="B56" s="15">
        <v>2008</v>
      </c>
      <c r="C56" s="38" t="s">
        <v>242</v>
      </c>
      <c r="D56" s="15" t="s">
        <v>164</v>
      </c>
      <c r="E56" s="57" t="s">
        <v>365</v>
      </c>
      <c r="F56" s="34" t="s">
        <v>237</v>
      </c>
      <c r="G56" s="57" t="s">
        <v>372</v>
      </c>
      <c r="H56" s="35">
        <v>0</v>
      </c>
      <c r="I56" s="35">
        <v>160</v>
      </c>
      <c r="J56" s="35">
        <v>0</v>
      </c>
      <c r="K56" s="23"/>
      <c r="L56" s="71"/>
      <c r="M56" s="38"/>
      <c r="N56" s="49"/>
      <c r="O56" s="36"/>
      <c r="P56" s="36"/>
      <c r="Q56" s="38"/>
      <c r="R56" s="69"/>
      <c r="S56" s="69"/>
      <c r="T56" s="38"/>
      <c r="U56" s="69"/>
      <c r="V56" s="36"/>
      <c r="W56" s="36"/>
      <c r="X56" s="69"/>
      <c r="Y56" s="69"/>
      <c r="Z56" s="69"/>
      <c r="AA56" s="69"/>
      <c r="AB56" s="69"/>
    </row>
    <row r="57" spans="1:28" s="28" customFormat="1" x14ac:dyDescent="0.25">
      <c r="A57" s="15" t="s">
        <v>236</v>
      </c>
      <c r="B57" s="15">
        <v>2008</v>
      </c>
      <c r="C57" s="38" t="s">
        <v>242</v>
      </c>
      <c r="D57" s="15" t="s">
        <v>164</v>
      </c>
      <c r="E57" s="57" t="s">
        <v>366</v>
      </c>
      <c r="F57" s="34" t="s">
        <v>237</v>
      </c>
      <c r="G57" s="57" t="s">
        <v>372</v>
      </c>
      <c r="H57" s="35">
        <v>1</v>
      </c>
      <c r="I57" s="35">
        <v>31</v>
      </c>
      <c r="J57" s="35">
        <v>0</v>
      </c>
      <c r="K57" s="23"/>
      <c r="L57" s="71"/>
      <c r="M57" s="38"/>
      <c r="N57" s="49"/>
      <c r="O57" s="36"/>
      <c r="P57" s="38"/>
      <c r="Q57" s="38"/>
      <c r="R57" s="69"/>
      <c r="S57" s="69"/>
      <c r="T57" s="69"/>
      <c r="U57" s="69"/>
      <c r="V57" s="36"/>
      <c r="W57" s="36"/>
      <c r="X57" s="69"/>
      <c r="Y57" s="69"/>
      <c r="Z57" s="69"/>
      <c r="AA57" s="69"/>
      <c r="AB57" s="69"/>
    </row>
    <row r="58" spans="1:28" s="28" customFormat="1" x14ac:dyDescent="0.25">
      <c r="A58" s="15" t="s">
        <v>236</v>
      </c>
      <c r="B58" s="15">
        <v>2008</v>
      </c>
      <c r="C58" s="38" t="s">
        <v>242</v>
      </c>
      <c r="D58" s="15" t="s">
        <v>164</v>
      </c>
      <c r="E58" s="57" t="s">
        <v>367</v>
      </c>
      <c r="F58" s="34" t="s">
        <v>237</v>
      </c>
      <c r="G58" s="57" t="s">
        <v>372</v>
      </c>
      <c r="H58" s="35">
        <v>1</v>
      </c>
      <c r="I58" s="35">
        <v>31</v>
      </c>
      <c r="J58" s="35">
        <v>0</v>
      </c>
      <c r="K58" s="59"/>
      <c r="L58" s="69"/>
      <c r="M58" s="38"/>
      <c r="N58" s="49"/>
      <c r="O58" s="36"/>
      <c r="P58" s="38"/>
      <c r="Q58" s="38"/>
      <c r="R58" s="69"/>
      <c r="S58" s="69"/>
      <c r="T58" s="69"/>
      <c r="U58" s="69"/>
      <c r="V58" s="35"/>
      <c r="W58" s="35"/>
      <c r="X58" s="69"/>
      <c r="Y58" s="69"/>
      <c r="Z58" s="69"/>
      <c r="AA58" s="69"/>
      <c r="AB58" s="69"/>
    </row>
    <row r="59" spans="1:28" s="28" customFormat="1" x14ac:dyDescent="0.25">
      <c r="A59" s="21"/>
      <c r="B59" s="22"/>
      <c r="C59" s="21"/>
      <c r="D59" s="21"/>
      <c r="E59" s="21"/>
      <c r="F59" s="59"/>
      <c r="G59" s="22"/>
      <c r="H59" s="22"/>
      <c r="I59" s="22"/>
      <c r="J59" s="22"/>
      <c r="L59" s="52"/>
      <c r="N59" s="67"/>
      <c r="V59" s="15"/>
      <c r="W59" s="15"/>
    </row>
    <row r="60" spans="1:28" x14ac:dyDescent="0.25">
      <c r="A60" s="56" t="s">
        <v>226</v>
      </c>
      <c r="B60" s="56">
        <v>2018</v>
      </c>
      <c r="C60" s="56" t="s">
        <v>79</v>
      </c>
      <c r="D60" s="56" t="s">
        <v>276</v>
      </c>
      <c r="E60" s="56" t="s">
        <v>91</v>
      </c>
      <c r="F60" s="57" t="s">
        <v>237</v>
      </c>
      <c r="G60" s="56">
        <v>21</v>
      </c>
      <c r="H60" s="56">
        <v>71</v>
      </c>
      <c r="I60" s="56">
        <v>52</v>
      </c>
      <c r="J60" s="56">
        <v>273</v>
      </c>
      <c r="L60" s="10"/>
      <c r="V60" s="15"/>
      <c r="W60" s="15"/>
      <c r="X60" s="28"/>
    </row>
    <row r="61" spans="1:28" x14ac:dyDescent="0.25">
      <c r="A61" s="56" t="s">
        <v>184</v>
      </c>
      <c r="B61" s="56">
        <v>2017</v>
      </c>
      <c r="C61" s="56" t="s">
        <v>83</v>
      </c>
      <c r="D61" s="56" t="s">
        <v>187</v>
      </c>
      <c r="E61" s="56" t="s">
        <v>91</v>
      </c>
      <c r="F61" s="57" t="s">
        <v>237</v>
      </c>
      <c r="G61" s="56">
        <v>19</v>
      </c>
      <c r="H61" s="56">
        <v>99</v>
      </c>
      <c r="I61" s="56">
        <v>8</v>
      </c>
      <c r="J61" s="56">
        <v>182</v>
      </c>
      <c r="V61" s="35"/>
      <c r="W61" s="35"/>
      <c r="X61" s="28"/>
    </row>
    <row r="62" spans="1:28" x14ac:dyDescent="0.25">
      <c r="A62" s="56" t="s">
        <v>234</v>
      </c>
      <c r="B62" s="56">
        <v>2018</v>
      </c>
      <c r="C62" s="56" t="s">
        <v>79</v>
      </c>
      <c r="D62" s="56" t="s">
        <v>276</v>
      </c>
      <c r="E62" s="56" t="s">
        <v>91</v>
      </c>
      <c r="F62" s="57" t="s">
        <v>237</v>
      </c>
      <c r="G62" s="56">
        <v>16</v>
      </c>
      <c r="H62" s="56">
        <v>59</v>
      </c>
      <c r="I62" s="56">
        <v>7</v>
      </c>
      <c r="J62" s="56">
        <v>68</v>
      </c>
      <c r="V62" s="36"/>
      <c r="W62" s="36"/>
      <c r="X62" s="28"/>
    </row>
    <row r="63" spans="1:28" x14ac:dyDescent="0.25">
      <c r="A63" s="56" t="s">
        <v>234</v>
      </c>
      <c r="B63" s="56">
        <v>2018</v>
      </c>
      <c r="C63" s="56" t="s">
        <v>79</v>
      </c>
      <c r="D63" s="19" t="s">
        <v>239</v>
      </c>
      <c r="E63" s="57" t="s">
        <v>246</v>
      </c>
      <c r="F63" s="57" t="s">
        <v>237</v>
      </c>
      <c r="G63" s="56">
        <v>6</v>
      </c>
      <c r="H63" s="56">
        <v>1</v>
      </c>
      <c r="I63" s="56">
        <v>17</v>
      </c>
      <c r="J63" s="56">
        <f>150-SUM(G63:I63)</f>
        <v>126</v>
      </c>
      <c r="V63" s="35"/>
      <c r="W63" s="35"/>
      <c r="X63" s="28"/>
    </row>
    <row r="64" spans="1:28" x14ac:dyDescent="0.25">
      <c r="A64" s="56" t="s">
        <v>234</v>
      </c>
      <c r="B64" s="56">
        <v>2018</v>
      </c>
      <c r="C64" s="56" t="s">
        <v>79</v>
      </c>
      <c r="D64" s="19" t="s">
        <v>239</v>
      </c>
      <c r="E64" s="57" t="s">
        <v>245</v>
      </c>
      <c r="F64" s="57" t="s">
        <v>237</v>
      </c>
      <c r="G64" s="56">
        <v>10</v>
      </c>
      <c r="H64" s="56">
        <v>58</v>
      </c>
      <c r="I64" s="56">
        <v>13</v>
      </c>
      <c r="J64" s="56">
        <f>150-SUM(G64:I64)</f>
        <v>69</v>
      </c>
      <c r="V64" s="36"/>
      <c r="W64" s="36"/>
      <c r="X64" s="28"/>
    </row>
    <row r="65" spans="1:24" x14ac:dyDescent="0.25">
      <c r="A65" s="56" t="s">
        <v>19</v>
      </c>
      <c r="B65" s="56">
        <v>2005</v>
      </c>
      <c r="C65" s="56" t="s">
        <v>79</v>
      </c>
      <c r="D65" s="19" t="s">
        <v>239</v>
      </c>
      <c r="E65" s="57" t="s">
        <v>91</v>
      </c>
      <c r="F65" s="57" t="s">
        <v>257</v>
      </c>
      <c r="G65" s="56">
        <v>13</v>
      </c>
      <c r="H65" s="56">
        <v>131</v>
      </c>
      <c r="I65" s="56">
        <v>5</v>
      </c>
      <c r="J65" s="56">
        <f>352-149</f>
        <v>203</v>
      </c>
      <c r="V65" s="15"/>
      <c r="W65" s="15"/>
      <c r="X65" s="28"/>
    </row>
    <row r="66" spans="1:24" x14ac:dyDescent="0.25">
      <c r="A66" s="56" t="s">
        <v>198</v>
      </c>
      <c r="B66" s="56">
        <v>2017</v>
      </c>
      <c r="C66" s="56" t="s">
        <v>79</v>
      </c>
      <c r="D66" s="19" t="s">
        <v>239</v>
      </c>
      <c r="E66" s="19" t="s">
        <v>91</v>
      </c>
      <c r="F66" s="57" t="s">
        <v>257</v>
      </c>
      <c r="G66" s="56">
        <v>152</v>
      </c>
      <c r="H66" s="56">
        <v>325</v>
      </c>
      <c r="I66" s="56">
        <v>301</v>
      </c>
      <c r="J66" s="56">
        <v>742</v>
      </c>
      <c r="V66" s="35"/>
      <c r="W66" s="35"/>
      <c r="X66" s="28"/>
    </row>
    <row r="67" spans="1:24" x14ac:dyDescent="0.25">
      <c r="A67" s="56" t="s">
        <v>198</v>
      </c>
      <c r="B67" s="56">
        <v>2017</v>
      </c>
      <c r="C67" s="56" t="s">
        <v>258</v>
      </c>
      <c r="D67" s="19" t="s">
        <v>239</v>
      </c>
      <c r="E67" s="19" t="s">
        <v>91</v>
      </c>
      <c r="F67" s="57" t="s">
        <v>257</v>
      </c>
      <c r="G67" s="56">
        <v>22</v>
      </c>
      <c r="H67" s="56">
        <v>455</v>
      </c>
      <c r="I67" s="56">
        <v>30</v>
      </c>
      <c r="J67" s="56">
        <v>1013</v>
      </c>
      <c r="V67" s="35"/>
      <c r="W67" s="35"/>
      <c r="X67" s="28"/>
    </row>
    <row r="68" spans="1:24" s="20" customFormat="1" x14ac:dyDescent="0.25">
      <c r="A68" s="19" t="s">
        <v>38</v>
      </c>
      <c r="B68" s="20">
        <v>2011</v>
      </c>
      <c r="C68" s="19" t="s">
        <v>79</v>
      </c>
      <c r="D68" s="19" t="s">
        <v>239</v>
      </c>
      <c r="E68" s="19" t="s">
        <v>91</v>
      </c>
      <c r="F68" s="57" t="s">
        <v>237</v>
      </c>
      <c r="G68" s="24">
        <v>21</v>
      </c>
      <c r="H68" s="24">
        <v>131</v>
      </c>
      <c r="I68" s="24">
        <v>459</v>
      </c>
      <c r="J68" s="24">
        <v>1035</v>
      </c>
      <c r="K68" s="24"/>
      <c r="L68" s="24"/>
      <c r="M68" s="24"/>
      <c r="N68" s="23"/>
      <c r="V68" s="15"/>
      <c r="W68" s="15"/>
      <c r="X68" s="28"/>
    </row>
    <row r="69" spans="1:24" s="20" customFormat="1" x14ac:dyDescent="0.25">
      <c r="A69" s="19" t="s">
        <v>38</v>
      </c>
      <c r="B69" s="20">
        <v>2011</v>
      </c>
      <c r="C69" s="19" t="s">
        <v>79</v>
      </c>
      <c r="D69" s="19" t="s">
        <v>239</v>
      </c>
      <c r="E69" s="19" t="s">
        <v>246</v>
      </c>
      <c r="F69" s="57" t="s">
        <v>237</v>
      </c>
      <c r="G69" s="24">
        <v>17</v>
      </c>
      <c r="H69" s="24">
        <f>106-17</f>
        <v>89</v>
      </c>
      <c r="I69" s="24">
        <v>463</v>
      </c>
      <c r="J69" s="24">
        <f>1646-SUM(G69:I69)</f>
        <v>1077</v>
      </c>
      <c r="K69" s="24"/>
      <c r="L69" s="24"/>
      <c r="M69" s="24"/>
      <c r="N69" s="23"/>
      <c r="V69" s="15"/>
      <c r="W69" s="15"/>
      <c r="X69" s="28"/>
    </row>
    <row r="70" spans="1:24" s="20" customFormat="1" x14ac:dyDescent="0.25">
      <c r="A70" s="19" t="s">
        <v>38</v>
      </c>
      <c r="B70" s="20">
        <v>2011</v>
      </c>
      <c r="C70" s="19" t="s">
        <v>79</v>
      </c>
      <c r="D70" s="19" t="s">
        <v>239</v>
      </c>
      <c r="E70" s="19" t="s">
        <v>245</v>
      </c>
      <c r="F70" s="57" t="s">
        <v>237</v>
      </c>
      <c r="G70" s="24">
        <v>4</v>
      </c>
      <c r="H70" s="24">
        <v>42</v>
      </c>
      <c r="I70" s="24">
        <v>480</v>
      </c>
      <c r="J70" s="24">
        <f>1646-SUM(G70:I70)</f>
        <v>1120</v>
      </c>
      <c r="K70" s="24"/>
      <c r="L70" s="24"/>
      <c r="M70" s="24"/>
      <c r="N70" s="23"/>
      <c r="V70" s="47"/>
      <c r="W70" s="47"/>
      <c r="X70" s="28"/>
    </row>
    <row r="71" spans="1:24" s="20" customFormat="1" x14ac:dyDescent="0.25">
      <c r="A71" s="19" t="s">
        <v>38</v>
      </c>
      <c r="B71" s="20">
        <v>2011</v>
      </c>
      <c r="C71" s="19" t="s">
        <v>79</v>
      </c>
      <c r="D71" s="19" t="s">
        <v>239</v>
      </c>
      <c r="E71" s="19" t="s">
        <v>155</v>
      </c>
      <c r="F71" s="57" t="s">
        <v>237</v>
      </c>
      <c r="G71" s="24">
        <v>14</v>
      </c>
      <c r="H71" s="24">
        <v>119</v>
      </c>
      <c r="I71" s="24">
        <f>459+7</f>
        <v>466</v>
      </c>
      <c r="J71" s="24">
        <f>1646-SUM(G71:I71)</f>
        <v>1047</v>
      </c>
      <c r="K71" s="24"/>
      <c r="L71" s="24"/>
      <c r="M71" s="24"/>
      <c r="N71" s="23"/>
    </row>
    <row r="72" spans="1:24" s="20" customFormat="1" x14ac:dyDescent="0.25">
      <c r="A72" s="19" t="s">
        <v>38</v>
      </c>
      <c r="B72" s="20">
        <v>2011</v>
      </c>
      <c r="C72" s="19" t="s">
        <v>79</v>
      </c>
      <c r="D72" s="19" t="s">
        <v>239</v>
      </c>
      <c r="E72" s="19" t="s">
        <v>156</v>
      </c>
      <c r="F72" s="57" t="s">
        <v>237</v>
      </c>
      <c r="G72" s="24">
        <v>7</v>
      </c>
      <c r="H72" s="24">
        <v>12</v>
      </c>
      <c r="I72" s="24">
        <f>459+14</f>
        <v>473</v>
      </c>
      <c r="J72" s="24">
        <f>1646-SUM(G72:I72)</f>
        <v>1154</v>
      </c>
      <c r="K72" s="24"/>
      <c r="L72" s="24"/>
      <c r="M72" s="24"/>
      <c r="N72" s="23"/>
    </row>
    <row r="73" spans="1:24" x14ac:dyDescent="0.25">
      <c r="A73" s="56" t="s">
        <v>206</v>
      </c>
      <c r="B73" s="56">
        <v>1995</v>
      </c>
      <c r="C73" s="56" t="s">
        <v>285</v>
      </c>
      <c r="D73" s="56" t="s">
        <v>286</v>
      </c>
      <c r="E73" s="56" t="s">
        <v>91</v>
      </c>
      <c r="F73" s="57" t="s">
        <v>237</v>
      </c>
      <c r="G73" s="56">
        <v>18</v>
      </c>
      <c r="H73" s="56">
        <v>160</v>
      </c>
      <c r="I73" s="56">
        <v>17</v>
      </c>
      <c r="J73" s="56">
        <v>339</v>
      </c>
    </row>
    <row r="74" spans="1:24" x14ac:dyDescent="0.25">
      <c r="A74" s="56" t="s">
        <v>206</v>
      </c>
      <c r="B74" s="56">
        <v>1995</v>
      </c>
      <c r="C74" s="56" t="s">
        <v>285</v>
      </c>
      <c r="D74" s="56" t="s">
        <v>239</v>
      </c>
      <c r="E74" s="56" t="s">
        <v>246</v>
      </c>
      <c r="F74" s="57" t="s">
        <v>237</v>
      </c>
      <c r="G74" s="56">
        <v>11</v>
      </c>
      <c r="H74" s="56">
        <v>59</v>
      </c>
      <c r="I74" s="56">
        <v>24</v>
      </c>
      <c r="J74" s="56">
        <f>534-SUM(G74:I74)</f>
        <v>440</v>
      </c>
    </row>
    <row r="75" spans="1:24" x14ac:dyDescent="0.25">
      <c r="A75" s="56" t="s">
        <v>206</v>
      </c>
      <c r="B75" s="56">
        <v>1995</v>
      </c>
      <c r="C75" s="56" t="s">
        <v>285</v>
      </c>
      <c r="D75" s="56" t="s">
        <v>239</v>
      </c>
      <c r="E75" s="56" t="s">
        <v>245</v>
      </c>
      <c r="F75" s="57" t="s">
        <v>237</v>
      </c>
      <c r="G75" s="56">
        <v>7</v>
      </c>
      <c r="H75" s="56">
        <v>101</v>
      </c>
      <c r="I75" s="56">
        <v>28</v>
      </c>
      <c r="J75" s="56">
        <f>534-SUM(G75:I75)</f>
        <v>398</v>
      </c>
    </row>
    <row r="76" spans="1:24" x14ac:dyDescent="0.25">
      <c r="A76" s="23" t="s">
        <v>63</v>
      </c>
      <c r="B76" s="24">
        <v>2008</v>
      </c>
      <c r="C76" s="23" t="s">
        <v>79</v>
      </c>
      <c r="D76" s="56" t="s">
        <v>286</v>
      </c>
      <c r="E76" s="56" t="s">
        <v>91</v>
      </c>
      <c r="F76" s="57" t="s">
        <v>257</v>
      </c>
      <c r="G76" s="56">
        <v>15</v>
      </c>
      <c r="H76" s="56">
        <v>54</v>
      </c>
      <c r="I76" s="56">
        <v>19</v>
      </c>
      <c r="J76" s="56">
        <f>202-(SUM(G76:I76))</f>
        <v>114</v>
      </c>
      <c r="K76" s="19"/>
      <c r="L76" s="21"/>
      <c r="M76" s="19"/>
      <c r="N76" s="19"/>
      <c r="O76" s="10"/>
      <c r="P76" s="10"/>
      <c r="Q76" s="10"/>
      <c r="R76" s="10"/>
      <c r="S76" s="10"/>
    </row>
    <row r="77" spans="1:24" x14ac:dyDescent="0.25">
      <c r="A77" s="56" t="s">
        <v>293</v>
      </c>
      <c r="B77" s="56">
        <v>2003</v>
      </c>
      <c r="C77" s="56" t="s">
        <v>294</v>
      </c>
      <c r="D77" s="56" t="s">
        <v>286</v>
      </c>
      <c r="E77" s="56" t="s">
        <v>91</v>
      </c>
      <c r="F77" s="57" t="s">
        <v>257</v>
      </c>
      <c r="G77" s="56">
        <v>32</v>
      </c>
      <c r="H77" s="56">
        <v>86</v>
      </c>
      <c r="I77" s="56">
        <v>29</v>
      </c>
      <c r="J77" s="56">
        <v>86</v>
      </c>
    </row>
    <row r="78" spans="1:24" x14ac:dyDescent="0.25">
      <c r="A78" s="56" t="s">
        <v>227</v>
      </c>
      <c r="B78" s="56">
        <v>2018</v>
      </c>
      <c r="C78" s="56" t="s">
        <v>79</v>
      </c>
      <c r="D78" s="56" t="s">
        <v>239</v>
      </c>
      <c r="E78" s="56" t="s">
        <v>91</v>
      </c>
      <c r="F78" s="57" t="s">
        <v>237</v>
      </c>
      <c r="G78" s="56">
        <v>53</v>
      </c>
      <c r="H78" s="56">
        <v>111</v>
      </c>
      <c r="I78" s="56">
        <v>138</v>
      </c>
      <c r="J78" s="56">
        <v>398</v>
      </c>
    </row>
    <row r="79" spans="1:24" x14ac:dyDescent="0.25">
      <c r="A79" s="56" t="s">
        <v>227</v>
      </c>
      <c r="B79" s="56">
        <v>2018</v>
      </c>
      <c r="C79" s="56" t="s">
        <v>79</v>
      </c>
      <c r="D79" s="56" t="s">
        <v>239</v>
      </c>
      <c r="E79" s="57" t="s">
        <v>246</v>
      </c>
      <c r="F79" s="57" t="s">
        <v>237</v>
      </c>
      <c r="G79" s="56">
        <v>30</v>
      </c>
      <c r="H79" s="56">
        <v>35</v>
      </c>
      <c r="I79" s="56">
        <f>138+23</f>
        <v>161</v>
      </c>
      <c r="J79" s="56">
        <f>700-SUM(G79:I79)</f>
        <v>474</v>
      </c>
    </row>
    <row r="80" spans="1:24" x14ac:dyDescent="0.25">
      <c r="A80" s="56" t="s">
        <v>227</v>
      </c>
      <c r="B80" s="56">
        <v>2018</v>
      </c>
      <c r="C80" s="56" t="s">
        <v>79</v>
      </c>
      <c r="D80" s="56" t="s">
        <v>239</v>
      </c>
      <c r="E80" s="57" t="s">
        <v>245</v>
      </c>
      <c r="F80" s="57" t="s">
        <v>237</v>
      </c>
      <c r="G80" s="56">
        <v>23</v>
      </c>
      <c r="H80" s="56">
        <v>67</v>
      </c>
      <c r="I80" s="56">
        <f>138+30</f>
        <v>168</v>
      </c>
      <c r="J80" s="56">
        <f>700-SUM(G80:I80)</f>
        <v>442</v>
      </c>
    </row>
    <row r="81" spans="1:14" x14ac:dyDescent="0.25">
      <c r="A81" s="19" t="s">
        <v>210</v>
      </c>
      <c r="B81" s="20">
        <v>1995</v>
      </c>
      <c r="C81" s="19" t="s">
        <v>79</v>
      </c>
      <c r="D81" s="19" t="s">
        <v>286</v>
      </c>
      <c r="E81" s="19" t="s">
        <v>91</v>
      </c>
      <c r="F81" s="57" t="s">
        <v>237</v>
      </c>
      <c r="G81" s="20">
        <v>51</v>
      </c>
      <c r="H81" s="20">
        <v>499</v>
      </c>
      <c r="I81" s="20">
        <v>29</v>
      </c>
      <c r="J81" s="20">
        <v>521</v>
      </c>
      <c r="N81" s="48"/>
    </row>
    <row r="82" spans="1:14" x14ac:dyDescent="0.25">
      <c r="A82" s="19" t="s">
        <v>210</v>
      </c>
      <c r="B82" s="20">
        <v>1995</v>
      </c>
      <c r="C82" s="19" t="s">
        <v>79</v>
      </c>
      <c r="D82" s="56" t="s">
        <v>239</v>
      </c>
      <c r="E82" s="19" t="s">
        <v>155</v>
      </c>
      <c r="F82" s="57" t="s">
        <v>237</v>
      </c>
      <c r="G82" s="20">
        <v>18</v>
      </c>
      <c r="H82" s="20">
        <v>267</v>
      </c>
      <c r="I82" s="20">
        <v>62</v>
      </c>
      <c r="J82" s="20">
        <f>1100-SUM(G82:I82)</f>
        <v>753</v>
      </c>
      <c r="N82" s="48"/>
    </row>
    <row r="83" spans="1:14" x14ac:dyDescent="0.25">
      <c r="A83" s="19" t="s">
        <v>210</v>
      </c>
      <c r="B83" s="20">
        <v>1995</v>
      </c>
      <c r="C83" s="19" t="s">
        <v>79</v>
      </c>
      <c r="D83" s="56" t="s">
        <v>239</v>
      </c>
      <c r="E83" s="19" t="s">
        <v>156</v>
      </c>
      <c r="F83" s="57" t="s">
        <v>237</v>
      </c>
      <c r="G83" s="20">
        <v>33</v>
      </c>
      <c r="H83" s="20">
        <v>232</v>
      </c>
      <c r="I83" s="20">
        <v>47</v>
      </c>
      <c r="J83" s="20">
        <f>1100-SUM(G83:I83)</f>
        <v>788</v>
      </c>
      <c r="N83" s="48"/>
    </row>
    <row r="84" spans="1:14" x14ac:dyDescent="0.25">
      <c r="A84" s="19" t="s">
        <v>384</v>
      </c>
      <c r="B84" s="20">
        <v>2015</v>
      </c>
      <c r="C84" s="19" t="s">
        <v>79</v>
      </c>
      <c r="D84" s="56" t="s">
        <v>239</v>
      </c>
      <c r="E84" s="19" t="s">
        <v>91</v>
      </c>
      <c r="F84" s="19" t="s">
        <v>237</v>
      </c>
      <c r="G84" s="20">
        <v>114</v>
      </c>
      <c r="H84" s="20">
        <f>1451-114</f>
        <v>1337</v>
      </c>
      <c r="I84" s="20">
        <v>325</v>
      </c>
      <c r="J84" s="20">
        <f>4733-325</f>
        <v>4408</v>
      </c>
      <c r="N84" s="48"/>
    </row>
    <row r="85" spans="1:14" x14ac:dyDescent="0.25">
      <c r="A85" s="19" t="s">
        <v>92</v>
      </c>
      <c r="B85" s="24">
        <v>2015</v>
      </c>
      <c r="C85" s="40" t="s">
        <v>83</v>
      </c>
      <c r="D85" s="56" t="s">
        <v>239</v>
      </c>
      <c r="E85" s="23" t="s">
        <v>91</v>
      </c>
      <c r="F85" s="57" t="s">
        <v>237</v>
      </c>
      <c r="G85" s="24">
        <v>124</v>
      </c>
      <c r="H85" s="24">
        <v>1138</v>
      </c>
      <c r="I85" s="20">
        <v>457</v>
      </c>
      <c r="J85" s="20">
        <f>4404-(SUM(G85:I85))</f>
        <v>2685</v>
      </c>
      <c r="K85" s="23"/>
      <c r="L85" s="19"/>
      <c r="M85" s="19"/>
    </row>
    <row r="86" spans="1:14" x14ac:dyDescent="0.25">
      <c r="A86" s="19" t="s">
        <v>92</v>
      </c>
      <c r="B86" s="24">
        <v>2015</v>
      </c>
      <c r="C86" s="40" t="s">
        <v>83</v>
      </c>
      <c r="D86" s="56" t="s">
        <v>239</v>
      </c>
      <c r="E86" s="23" t="s">
        <v>155</v>
      </c>
      <c r="F86" s="57" t="s">
        <v>237</v>
      </c>
      <c r="G86" s="24">
        <v>98</v>
      </c>
      <c r="H86" s="24">
        <f>1096-98</f>
        <v>998</v>
      </c>
      <c r="I86" s="20">
        <v>483</v>
      </c>
      <c r="J86" s="20">
        <f>4404-(SUM(G86:I86))</f>
        <v>2825</v>
      </c>
      <c r="K86" s="23"/>
      <c r="L86" s="19"/>
      <c r="M86" s="19"/>
    </row>
    <row r="87" spans="1:14" x14ac:dyDescent="0.25">
      <c r="A87" s="19" t="s">
        <v>92</v>
      </c>
      <c r="B87" s="24">
        <v>2015</v>
      </c>
      <c r="C87" s="40" t="s">
        <v>83</v>
      </c>
      <c r="D87" s="56" t="s">
        <v>239</v>
      </c>
      <c r="E87" s="23" t="s">
        <v>156</v>
      </c>
      <c r="F87" s="57" t="s">
        <v>237</v>
      </c>
      <c r="G87" s="24">
        <v>26</v>
      </c>
      <c r="H87" s="24">
        <v>140</v>
      </c>
      <c r="I87" s="20">
        <v>555</v>
      </c>
      <c r="J87" s="20">
        <f>4404-(SUM(G87:I87))</f>
        <v>3683</v>
      </c>
      <c r="K87" s="23"/>
      <c r="L87" s="19"/>
      <c r="M87" s="19"/>
    </row>
    <row r="88" spans="1:14" x14ac:dyDescent="0.25">
      <c r="A88" s="19" t="s">
        <v>212</v>
      </c>
      <c r="B88" s="24">
        <v>1995</v>
      </c>
      <c r="C88" s="23" t="s">
        <v>79</v>
      </c>
      <c r="D88" s="23" t="s">
        <v>239</v>
      </c>
      <c r="E88" s="23" t="s">
        <v>91</v>
      </c>
      <c r="F88" s="57" t="s">
        <v>237</v>
      </c>
      <c r="G88" s="20">
        <v>200</v>
      </c>
      <c r="H88" s="20">
        <v>2317</v>
      </c>
      <c r="I88" s="20">
        <v>624</v>
      </c>
      <c r="J88" s="20">
        <v>5424</v>
      </c>
      <c r="N88" s="48"/>
    </row>
    <row r="89" spans="1:14" x14ac:dyDescent="0.25">
      <c r="A89" s="19" t="s">
        <v>212</v>
      </c>
      <c r="B89" s="24">
        <v>1995</v>
      </c>
      <c r="C89" s="23" t="s">
        <v>79</v>
      </c>
      <c r="D89" s="23" t="s">
        <v>239</v>
      </c>
      <c r="E89" s="23" t="s">
        <v>155</v>
      </c>
      <c r="F89" s="57" t="s">
        <v>237</v>
      </c>
      <c r="G89" s="20">
        <v>162</v>
      </c>
      <c r="H89" s="20">
        <f>2191-162</f>
        <v>2029</v>
      </c>
      <c r="I89" s="20">
        <v>662</v>
      </c>
      <c r="J89" s="20">
        <f>SUM(G88:J88)-SUM(G89:I89)</f>
        <v>5712</v>
      </c>
      <c r="N89" s="48"/>
    </row>
    <row r="90" spans="1:14" x14ac:dyDescent="0.25">
      <c r="A90" s="19" t="s">
        <v>212</v>
      </c>
      <c r="B90" s="20">
        <v>1995</v>
      </c>
      <c r="C90" s="19" t="s">
        <v>79</v>
      </c>
      <c r="D90" s="19" t="s">
        <v>239</v>
      </c>
      <c r="E90" s="19" t="s">
        <v>156</v>
      </c>
      <c r="F90" s="57" t="s">
        <v>237</v>
      </c>
      <c r="G90" s="20">
        <v>38</v>
      </c>
      <c r="H90" s="20">
        <v>288</v>
      </c>
      <c r="I90" s="20">
        <f>624+162</f>
        <v>786</v>
      </c>
      <c r="J90" s="20">
        <f>SUM(G88:J88)-SUM(G90:I90)</f>
        <v>7453</v>
      </c>
      <c r="N90" s="48"/>
    </row>
    <row r="91" spans="1:14" x14ac:dyDescent="0.25">
      <c r="A91" s="19" t="s">
        <v>127</v>
      </c>
      <c r="B91" s="20">
        <v>2005</v>
      </c>
      <c r="C91" s="19" t="s">
        <v>258</v>
      </c>
      <c r="D91" s="19" t="s">
        <v>239</v>
      </c>
      <c r="E91" s="19" t="s">
        <v>91</v>
      </c>
      <c r="F91" s="57" t="s">
        <v>237</v>
      </c>
      <c r="G91" s="20">
        <v>8</v>
      </c>
      <c r="H91" s="20">
        <v>775</v>
      </c>
      <c r="I91" s="20">
        <v>68</v>
      </c>
      <c r="J91" s="20">
        <f>3651-68</f>
        <v>3583</v>
      </c>
      <c r="N91" s="48"/>
    </row>
    <row r="92" spans="1:14" x14ac:dyDescent="0.25">
      <c r="A92" s="19" t="s">
        <v>127</v>
      </c>
      <c r="B92" s="20">
        <v>2005</v>
      </c>
      <c r="C92" s="19" t="s">
        <v>258</v>
      </c>
      <c r="D92" s="19" t="s">
        <v>239</v>
      </c>
      <c r="E92" s="19" t="s">
        <v>155</v>
      </c>
      <c r="F92" s="57" t="s">
        <v>237</v>
      </c>
      <c r="G92" s="20">
        <v>3</v>
      </c>
      <c r="H92" s="20">
        <v>688</v>
      </c>
      <c r="I92" s="20">
        <v>73</v>
      </c>
      <c r="J92" s="20">
        <f>SUM(G91:J91)-SUM(G92:I92)</f>
        <v>3670</v>
      </c>
      <c r="N92" s="48"/>
    </row>
    <row r="93" spans="1:14" x14ac:dyDescent="0.25">
      <c r="A93" s="19" t="s">
        <v>127</v>
      </c>
      <c r="B93" s="20">
        <v>2005</v>
      </c>
      <c r="C93" s="19" t="s">
        <v>258</v>
      </c>
      <c r="D93" s="19" t="s">
        <v>239</v>
      </c>
      <c r="E93" s="19" t="s">
        <v>156</v>
      </c>
      <c r="F93" s="57" t="s">
        <v>237</v>
      </c>
      <c r="G93" s="20">
        <v>5</v>
      </c>
      <c r="H93" s="20">
        <v>79</v>
      </c>
      <c r="I93" s="20">
        <v>71</v>
      </c>
      <c r="J93" s="20">
        <f>SUM(G91:J91)-SUM(G93:I93)</f>
        <v>4279</v>
      </c>
      <c r="N93" s="48"/>
    </row>
    <row r="94" spans="1:14" x14ac:dyDescent="0.25">
      <c r="A94" s="56" t="s">
        <v>134</v>
      </c>
      <c r="B94" s="56">
        <v>1992</v>
      </c>
      <c r="C94" s="59" t="s">
        <v>79</v>
      </c>
      <c r="D94" s="56" t="s">
        <v>239</v>
      </c>
      <c r="E94" s="56" t="s">
        <v>91</v>
      </c>
      <c r="F94" s="57" t="s">
        <v>237</v>
      </c>
      <c r="G94" s="20">
        <v>17</v>
      </c>
      <c r="H94" s="20">
        <v>150</v>
      </c>
      <c r="I94" s="20">
        <v>60</v>
      </c>
      <c r="J94" s="56">
        <f>706-(SUM(G94:I94))</f>
        <v>479</v>
      </c>
    </row>
    <row r="95" spans="1:14" x14ac:dyDescent="0.25">
      <c r="A95" s="56" t="s">
        <v>360</v>
      </c>
      <c r="B95" s="56">
        <v>2018</v>
      </c>
      <c r="C95" s="56" t="s">
        <v>79</v>
      </c>
      <c r="D95" s="56" t="s">
        <v>239</v>
      </c>
      <c r="E95" s="56" t="s">
        <v>91</v>
      </c>
      <c r="F95" s="57" t="s">
        <v>237</v>
      </c>
      <c r="G95" s="27">
        <v>30</v>
      </c>
      <c r="H95" s="27">
        <v>84</v>
      </c>
      <c r="I95" s="27">
        <v>6</v>
      </c>
      <c r="J95" s="27">
        <v>222</v>
      </c>
    </row>
    <row r="96" spans="1:14" x14ac:dyDescent="0.25">
      <c r="A96" s="56" t="s">
        <v>133</v>
      </c>
      <c r="B96" s="56">
        <v>2006</v>
      </c>
      <c r="C96" s="59" t="s">
        <v>79</v>
      </c>
      <c r="D96" s="56" t="s">
        <v>239</v>
      </c>
      <c r="E96" s="57" t="s">
        <v>91</v>
      </c>
      <c r="F96" s="57" t="s">
        <v>237</v>
      </c>
      <c r="G96" s="56">
        <v>912</v>
      </c>
      <c r="H96" s="56">
        <f>13717-G96</f>
        <v>12805</v>
      </c>
      <c r="I96" s="56">
        <f>6259-912</f>
        <v>5347</v>
      </c>
      <c r="J96" s="56">
        <f>57853-(SUM(G96:I96))</f>
        <v>38789</v>
      </c>
    </row>
    <row r="97" spans="1:19" x14ac:dyDescent="0.25">
      <c r="A97" s="56" t="s">
        <v>133</v>
      </c>
      <c r="B97" s="56">
        <v>2006</v>
      </c>
      <c r="C97" s="59" t="s">
        <v>79</v>
      </c>
      <c r="D97" s="56" t="s">
        <v>239</v>
      </c>
      <c r="E97" s="57" t="s">
        <v>246</v>
      </c>
      <c r="F97" s="57" t="s">
        <v>237</v>
      </c>
      <c r="G97" s="56">
        <v>61</v>
      </c>
      <c r="H97" s="56">
        <f>3025-61</f>
        <v>2964</v>
      </c>
      <c r="I97" s="56">
        <v>6259</v>
      </c>
      <c r="J97" s="56">
        <f>SUM(G96:J96)-SUM(G97:I97)</f>
        <v>48569</v>
      </c>
    </row>
    <row r="98" spans="1:19" x14ac:dyDescent="0.25">
      <c r="A98" s="56" t="s">
        <v>136</v>
      </c>
      <c r="B98" s="56">
        <v>2005</v>
      </c>
      <c r="C98" s="59" t="s">
        <v>79</v>
      </c>
      <c r="D98" s="56" t="s">
        <v>239</v>
      </c>
      <c r="E98" s="56" t="s">
        <v>91</v>
      </c>
      <c r="F98" s="57" t="s">
        <v>289</v>
      </c>
      <c r="G98" s="56">
        <v>18</v>
      </c>
      <c r="H98" s="56">
        <f>52-G98</f>
        <v>34</v>
      </c>
      <c r="I98" s="56">
        <v>67</v>
      </c>
      <c r="J98" s="56">
        <f>289-(SUM(G98:I98))</f>
        <v>170</v>
      </c>
    </row>
    <row r="99" spans="1:19" x14ac:dyDescent="0.25">
      <c r="A99" s="56" t="s">
        <v>136</v>
      </c>
      <c r="B99" s="56">
        <v>2005</v>
      </c>
      <c r="C99" s="59" t="s">
        <v>258</v>
      </c>
      <c r="D99" s="56" t="s">
        <v>239</v>
      </c>
      <c r="E99" s="56" t="s">
        <v>91</v>
      </c>
      <c r="F99" s="57" t="s">
        <v>289</v>
      </c>
      <c r="G99" s="56">
        <v>5</v>
      </c>
      <c r="H99" s="56">
        <f>52-G99</f>
        <v>47</v>
      </c>
      <c r="I99" s="56">
        <v>21</v>
      </c>
      <c r="J99" s="56">
        <f>289-(SUM(G99:I99))</f>
        <v>216</v>
      </c>
    </row>
    <row r="100" spans="1:19" x14ac:dyDescent="0.25">
      <c r="A100" s="56" t="s">
        <v>108</v>
      </c>
      <c r="B100" s="56">
        <v>2003</v>
      </c>
      <c r="C100" s="59" t="s">
        <v>79</v>
      </c>
      <c r="D100" s="56" t="s">
        <v>239</v>
      </c>
      <c r="E100" s="56" t="s">
        <v>91</v>
      </c>
      <c r="F100" s="57" t="s">
        <v>289</v>
      </c>
      <c r="G100" s="56">
        <v>4</v>
      </c>
      <c r="H100" s="56">
        <f>66-G100</f>
        <v>62</v>
      </c>
      <c r="I100" s="56">
        <v>4</v>
      </c>
      <c r="J100" s="56">
        <f>132-(SUM(G100:I100))</f>
        <v>62</v>
      </c>
      <c r="O100" s="30"/>
      <c r="Q100" s="28"/>
      <c r="R100" s="28"/>
      <c r="S100" s="28"/>
    </row>
    <row r="101" spans="1:19" x14ac:dyDescent="0.25">
      <c r="A101" s="56" t="s">
        <v>108</v>
      </c>
      <c r="B101" s="56">
        <v>2003</v>
      </c>
      <c r="C101" s="59" t="s">
        <v>79</v>
      </c>
      <c r="D101" s="56" t="s">
        <v>239</v>
      </c>
      <c r="E101" s="57" t="s">
        <v>246</v>
      </c>
      <c r="F101" s="57" t="s">
        <v>289</v>
      </c>
      <c r="G101" s="56">
        <v>2</v>
      </c>
      <c r="H101" s="56">
        <v>31</v>
      </c>
      <c r="I101" s="56">
        <v>6</v>
      </c>
      <c r="J101" s="56">
        <f>132-SUM(G101:I101)</f>
        <v>93</v>
      </c>
      <c r="O101" s="30"/>
      <c r="Q101" s="28"/>
      <c r="R101" s="28"/>
      <c r="S101" s="28"/>
    </row>
    <row r="102" spans="1:19" x14ac:dyDescent="0.25">
      <c r="A102" s="56" t="s">
        <v>108</v>
      </c>
      <c r="B102" s="56">
        <v>2003</v>
      </c>
      <c r="C102" s="59" t="s">
        <v>79</v>
      </c>
      <c r="D102" s="56" t="s">
        <v>239</v>
      </c>
      <c r="E102" s="57" t="s">
        <v>245</v>
      </c>
      <c r="F102" s="57" t="s">
        <v>289</v>
      </c>
      <c r="G102" s="56">
        <v>2</v>
      </c>
      <c r="H102" s="56">
        <v>31</v>
      </c>
      <c r="I102" s="56">
        <v>6</v>
      </c>
      <c r="J102" s="56">
        <f>132-SUM(G102:I102)</f>
        <v>93</v>
      </c>
      <c r="O102" s="30"/>
      <c r="Q102" s="28"/>
      <c r="R102" s="28"/>
      <c r="S102" s="28"/>
    </row>
    <row r="103" spans="1:19" x14ac:dyDescent="0.25">
      <c r="A103" s="56" t="s">
        <v>132</v>
      </c>
      <c r="B103" s="56">
        <v>2005</v>
      </c>
      <c r="C103" s="59" t="s">
        <v>79</v>
      </c>
      <c r="D103" s="56" t="s">
        <v>239</v>
      </c>
      <c r="E103" s="56" t="s">
        <v>91</v>
      </c>
      <c r="F103" s="57" t="s">
        <v>237</v>
      </c>
      <c r="G103" s="56">
        <v>405</v>
      </c>
      <c r="H103" s="56">
        <v>3583</v>
      </c>
      <c r="I103" s="56">
        <f>1528-405</f>
        <v>1123</v>
      </c>
      <c r="J103" s="56">
        <f>11702-(SUM(G103:I103))</f>
        <v>6591</v>
      </c>
      <c r="Q103" s="28"/>
      <c r="S103" s="28"/>
    </row>
    <row r="104" spans="1:19" x14ac:dyDescent="0.25">
      <c r="A104" s="56" t="s">
        <v>132</v>
      </c>
      <c r="B104" s="56">
        <v>2005</v>
      </c>
      <c r="C104" s="59" t="s">
        <v>79</v>
      </c>
      <c r="D104" s="56" t="s">
        <v>239</v>
      </c>
      <c r="E104" s="56" t="s">
        <v>155</v>
      </c>
      <c r="F104" s="57" t="s">
        <v>237</v>
      </c>
      <c r="G104" s="56">
        <v>307</v>
      </c>
      <c r="H104" s="56">
        <f>3313-307</f>
        <v>3006</v>
      </c>
      <c r="I104" s="56">
        <f>1123+98</f>
        <v>1221</v>
      </c>
      <c r="J104" s="56">
        <f>11702-(SUM(G104:I104))</f>
        <v>7168</v>
      </c>
      <c r="Q104" s="28"/>
      <c r="S104" s="28"/>
    </row>
    <row r="105" spans="1:19" x14ac:dyDescent="0.25">
      <c r="A105" s="56" t="s">
        <v>132</v>
      </c>
      <c r="B105" s="56">
        <v>2005</v>
      </c>
      <c r="C105" s="59" t="s">
        <v>79</v>
      </c>
      <c r="D105" s="56" t="s">
        <v>239</v>
      </c>
      <c r="E105" s="56" t="s">
        <v>156</v>
      </c>
      <c r="F105" s="57" t="s">
        <v>237</v>
      </c>
      <c r="G105" s="56">
        <v>98</v>
      </c>
      <c r="H105" s="56">
        <v>577</v>
      </c>
      <c r="I105" s="56">
        <f>1123+307</f>
        <v>1430</v>
      </c>
      <c r="J105" s="56">
        <f>11702-(SUM(G105:I105))</f>
        <v>9597</v>
      </c>
      <c r="Q105" s="28"/>
      <c r="S105" s="28"/>
    </row>
    <row r="106" spans="1:19" x14ac:dyDescent="0.25">
      <c r="A106" s="56" t="s">
        <v>130</v>
      </c>
      <c r="B106" s="56">
        <v>2006</v>
      </c>
      <c r="C106" s="59" t="s">
        <v>79</v>
      </c>
      <c r="D106" s="56" t="s">
        <v>239</v>
      </c>
      <c r="E106" s="56" t="s">
        <v>91</v>
      </c>
      <c r="F106" s="57" t="s">
        <v>237</v>
      </c>
      <c r="G106" s="56">
        <v>2805</v>
      </c>
      <c r="H106" s="56">
        <f>24392-G106</f>
        <v>21587</v>
      </c>
      <c r="I106" s="56">
        <f>20829-2805</f>
        <v>18024</v>
      </c>
      <c r="J106" s="56">
        <f>166318-(SUM(G106:I106))</f>
        <v>123902</v>
      </c>
      <c r="Q106" s="28"/>
      <c r="R106" s="28"/>
      <c r="S106" s="28"/>
    </row>
    <row r="107" spans="1:19" x14ac:dyDescent="0.25">
      <c r="A107" s="56" t="s">
        <v>201</v>
      </c>
      <c r="B107" s="56">
        <v>2017</v>
      </c>
      <c r="C107" s="59" t="s">
        <v>79</v>
      </c>
      <c r="D107" s="56" t="s">
        <v>239</v>
      </c>
      <c r="E107" s="56" t="s">
        <v>91</v>
      </c>
      <c r="F107" s="57" t="s">
        <v>237</v>
      </c>
      <c r="G107" s="56">
        <v>76</v>
      </c>
      <c r="H107" s="56">
        <v>144</v>
      </c>
      <c r="I107" s="56">
        <v>160</v>
      </c>
      <c r="J107" s="56">
        <v>620</v>
      </c>
    </row>
    <row r="108" spans="1:19" x14ac:dyDescent="0.25">
      <c r="A108" s="56" t="s">
        <v>201</v>
      </c>
      <c r="B108" s="56">
        <v>2017</v>
      </c>
      <c r="C108" s="59" t="s">
        <v>79</v>
      </c>
      <c r="D108" s="56" t="s">
        <v>239</v>
      </c>
      <c r="E108" s="56" t="s">
        <v>155</v>
      </c>
      <c r="F108" s="57" t="s">
        <v>237</v>
      </c>
      <c r="G108" s="56">
        <v>36</v>
      </c>
      <c r="H108" s="56">
        <f>124-36</f>
        <v>88</v>
      </c>
      <c r="I108" s="56">
        <v>200</v>
      </c>
      <c r="J108" s="56">
        <f>SUM(G107:J107)-SUM(G108:I108)</f>
        <v>676</v>
      </c>
    </row>
    <row r="109" spans="1:19" x14ac:dyDescent="0.25">
      <c r="A109" s="56" t="s">
        <v>201</v>
      </c>
      <c r="B109" s="56">
        <v>2017</v>
      </c>
      <c r="C109" s="59" t="s">
        <v>79</v>
      </c>
      <c r="D109" s="56" t="s">
        <v>239</v>
      </c>
      <c r="E109" s="56" t="s">
        <v>156</v>
      </c>
      <c r="F109" s="57" t="s">
        <v>237</v>
      </c>
      <c r="G109" s="56">
        <v>40</v>
      </c>
      <c r="H109" s="56">
        <v>56</v>
      </c>
      <c r="I109" s="56">
        <v>196</v>
      </c>
      <c r="J109" s="56">
        <f>SUM(G107:J107)-SUM(G109:I109)</f>
        <v>708</v>
      </c>
    </row>
    <row r="110" spans="1:19" x14ac:dyDescent="0.25">
      <c r="A110" s="19" t="s">
        <v>220</v>
      </c>
      <c r="B110" s="20">
        <v>2007</v>
      </c>
      <c r="C110" s="19" t="s">
        <v>79</v>
      </c>
      <c r="D110" s="19" t="s">
        <v>239</v>
      </c>
      <c r="E110" s="56" t="s">
        <v>91</v>
      </c>
      <c r="F110" s="19" t="s">
        <v>237</v>
      </c>
      <c r="G110" s="20">
        <v>24</v>
      </c>
      <c r="H110" s="20">
        <v>93</v>
      </c>
      <c r="I110" s="20">
        <v>122</v>
      </c>
      <c r="J110" s="20">
        <v>273</v>
      </c>
      <c r="Q110" s="28"/>
      <c r="R110" s="28"/>
      <c r="S110" s="28"/>
    </row>
    <row r="111" spans="1:19" x14ac:dyDescent="0.25">
      <c r="A111" s="56" t="s">
        <v>131</v>
      </c>
      <c r="B111" s="56">
        <v>2008</v>
      </c>
      <c r="C111" s="59" t="s">
        <v>158</v>
      </c>
      <c r="D111" s="19" t="s">
        <v>239</v>
      </c>
      <c r="E111" s="56" t="s">
        <v>91</v>
      </c>
      <c r="F111" s="19" t="s">
        <v>237</v>
      </c>
      <c r="G111" s="56">
        <v>6</v>
      </c>
      <c r="H111" s="27">
        <v>59</v>
      </c>
      <c r="I111" s="27">
        <v>34</v>
      </c>
      <c r="J111" s="56">
        <f>350-(SUM(G111:I111))</f>
        <v>251</v>
      </c>
      <c r="Q111" s="28"/>
      <c r="R111" s="28"/>
      <c r="S111" s="28"/>
    </row>
    <row r="112" spans="1:19" x14ac:dyDescent="0.25">
      <c r="A112" s="56" t="s">
        <v>131</v>
      </c>
      <c r="B112" s="56">
        <v>2008</v>
      </c>
      <c r="C112" s="59" t="s">
        <v>158</v>
      </c>
      <c r="D112" s="19" t="s">
        <v>239</v>
      </c>
      <c r="E112" s="57" t="s">
        <v>246</v>
      </c>
      <c r="F112" s="19" t="s">
        <v>237</v>
      </c>
      <c r="G112" s="56">
        <v>4</v>
      </c>
      <c r="H112" s="27">
        <v>13</v>
      </c>
      <c r="I112" s="27">
        <v>36</v>
      </c>
      <c r="J112" s="56">
        <f>SUM(G111:J111)-SUM(G112:I112)</f>
        <v>297</v>
      </c>
      <c r="Q112" s="28"/>
      <c r="R112" s="28"/>
      <c r="S112" s="28"/>
    </row>
    <row r="113" spans="1:19" x14ac:dyDescent="0.25">
      <c r="A113" s="56" t="s">
        <v>131</v>
      </c>
      <c r="B113" s="56">
        <v>2008</v>
      </c>
      <c r="C113" s="59" t="s">
        <v>158</v>
      </c>
      <c r="D113" s="19" t="s">
        <v>239</v>
      </c>
      <c r="E113" s="57" t="s">
        <v>245</v>
      </c>
      <c r="F113" s="19" t="s">
        <v>237</v>
      </c>
      <c r="G113" s="56">
        <v>2</v>
      </c>
      <c r="H113" s="27">
        <v>46</v>
      </c>
      <c r="I113" s="27">
        <v>38</v>
      </c>
      <c r="J113" s="56">
        <f>SUM(G112:J112)-SUM(G113:I113)</f>
        <v>264</v>
      </c>
      <c r="Q113" s="28"/>
      <c r="R113" s="28"/>
      <c r="S113" s="28"/>
    </row>
    <row r="114" spans="1:19" x14ac:dyDescent="0.25">
      <c r="A114" s="56" t="s">
        <v>131</v>
      </c>
      <c r="B114" s="56">
        <v>2008</v>
      </c>
      <c r="C114" s="59" t="s">
        <v>159</v>
      </c>
      <c r="D114" s="19" t="s">
        <v>239</v>
      </c>
      <c r="E114" s="56" t="s">
        <v>91</v>
      </c>
      <c r="F114" s="19" t="s">
        <v>237</v>
      </c>
      <c r="G114" s="56">
        <v>1</v>
      </c>
      <c r="H114" s="27">
        <v>64</v>
      </c>
      <c r="I114" s="27">
        <v>36</v>
      </c>
      <c r="J114" s="56">
        <f>350-(SUM(G114:I114))</f>
        <v>249</v>
      </c>
      <c r="Q114" s="28"/>
      <c r="R114" s="28"/>
      <c r="S114" s="28"/>
    </row>
    <row r="115" spans="1:19" x14ac:dyDescent="0.25">
      <c r="A115" s="56" t="s">
        <v>131</v>
      </c>
      <c r="B115" s="56">
        <v>2008</v>
      </c>
      <c r="C115" s="59" t="s">
        <v>159</v>
      </c>
      <c r="D115" s="19" t="s">
        <v>239</v>
      </c>
      <c r="E115" s="57" t="s">
        <v>246</v>
      </c>
      <c r="F115" s="19" t="s">
        <v>237</v>
      </c>
      <c r="G115" s="56">
        <v>0</v>
      </c>
      <c r="H115" s="27">
        <v>17</v>
      </c>
      <c r="I115" s="27">
        <v>37</v>
      </c>
      <c r="J115" s="56">
        <f>350-(SUM(G115:I115))</f>
        <v>296</v>
      </c>
      <c r="Q115" s="28"/>
      <c r="R115" s="28"/>
      <c r="S115" s="28"/>
    </row>
    <row r="116" spans="1:19" x14ac:dyDescent="0.25">
      <c r="A116" s="56" t="s">
        <v>131</v>
      </c>
      <c r="B116" s="56">
        <v>2008</v>
      </c>
      <c r="C116" s="59" t="s">
        <v>159</v>
      </c>
      <c r="D116" s="19" t="s">
        <v>239</v>
      </c>
      <c r="E116" s="57" t="s">
        <v>245</v>
      </c>
      <c r="F116" s="19" t="s">
        <v>237</v>
      </c>
      <c r="G116" s="56">
        <v>1</v>
      </c>
      <c r="H116" s="27">
        <v>47</v>
      </c>
      <c r="I116" s="27">
        <v>36</v>
      </c>
      <c r="J116" s="56">
        <f>350-(SUM(G116:I116))</f>
        <v>266</v>
      </c>
      <c r="Q116" s="28"/>
      <c r="R116" s="28"/>
      <c r="S116" s="28"/>
    </row>
    <row r="117" spans="1:19" ht="14.25" customHeight="1" x14ac:dyDescent="0.25">
      <c r="A117" s="56" t="s">
        <v>224</v>
      </c>
      <c r="B117" s="56">
        <v>1992</v>
      </c>
      <c r="C117" s="59" t="s">
        <v>79</v>
      </c>
      <c r="D117" s="19" t="s">
        <v>239</v>
      </c>
      <c r="E117" s="56" t="s">
        <v>91</v>
      </c>
      <c r="F117" s="57" t="s">
        <v>237</v>
      </c>
      <c r="G117" s="56">
        <v>46</v>
      </c>
      <c r="H117" s="27">
        <v>39</v>
      </c>
      <c r="I117" s="27">
        <v>283</v>
      </c>
      <c r="J117" s="56">
        <v>150</v>
      </c>
    </row>
    <row r="118" spans="1:19" ht="14.25" customHeight="1" x14ac:dyDescent="0.25">
      <c r="A118" s="56" t="s">
        <v>225</v>
      </c>
      <c r="B118" s="56">
        <v>2016</v>
      </c>
      <c r="C118" s="59" t="s">
        <v>83</v>
      </c>
      <c r="D118" s="19" t="s">
        <v>239</v>
      </c>
      <c r="E118" s="56" t="s">
        <v>91</v>
      </c>
      <c r="F118" s="57" t="s">
        <v>237</v>
      </c>
      <c r="G118" s="56">
        <v>56</v>
      </c>
      <c r="H118" s="27">
        <v>643</v>
      </c>
      <c r="I118" s="27">
        <v>37</v>
      </c>
      <c r="J118" s="56">
        <v>1015</v>
      </c>
    </row>
    <row r="119" spans="1:19" x14ac:dyDescent="0.25">
      <c r="A119" s="56" t="s">
        <v>135</v>
      </c>
      <c r="B119" s="56">
        <v>2015</v>
      </c>
      <c r="C119" s="31" t="s">
        <v>83</v>
      </c>
      <c r="D119" s="19" t="s">
        <v>239</v>
      </c>
      <c r="E119" s="56" t="s">
        <v>91</v>
      </c>
      <c r="F119" s="57" t="s">
        <v>237</v>
      </c>
      <c r="G119" s="56">
        <v>146</v>
      </c>
      <c r="H119" s="56">
        <f>245-146</f>
        <v>99</v>
      </c>
      <c r="I119" s="56">
        <f>530-146</f>
        <v>384</v>
      </c>
      <c r="J119" s="56">
        <f>1060-(SUM(G119:I119))</f>
        <v>431</v>
      </c>
    </row>
    <row r="120" spans="1:19" x14ac:dyDescent="0.25">
      <c r="C120" s="31"/>
      <c r="D120" s="19"/>
      <c r="J120" s="56">
        <f>SUM(D120:G122,D128:G128,D133:G133,D138:G138,D141:G141,D158:G158,D161:G161,D164:G164,D167:G167,D168:G169,D171:G171,D173:G173,D176:G176,D179:G180,D183:G184,D190:G191)</f>
        <v>6151</v>
      </c>
    </row>
    <row r="121" spans="1:19" x14ac:dyDescent="0.25">
      <c r="C121" s="31"/>
      <c r="D121" s="19"/>
      <c r="G121" s="56" t="s">
        <v>249</v>
      </c>
      <c r="K121" s="10"/>
    </row>
    <row r="122" spans="1:19" x14ac:dyDescent="0.25">
      <c r="A122" s="19" t="s">
        <v>38</v>
      </c>
      <c r="B122" s="20">
        <v>2011</v>
      </c>
      <c r="C122" s="19" t="s">
        <v>79</v>
      </c>
      <c r="D122" s="19" t="s">
        <v>239</v>
      </c>
      <c r="E122" s="57" t="s">
        <v>365</v>
      </c>
      <c r="F122" s="57" t="s">
        <v>237</v>
      </c>
      <c r="G122" s="56" t="s">
        <v>275</v>
      </c>
      <c r="H122" s="24">
        <v>14</v>
      </c>
      <c r="I122" s="24">
        <v>119</v>
      </c>
      <c r="J122" s="24">
        <v>459</v>
      </c>
      <c r="K122" s="10"/>
    </row>
    <row r="123" spans="1:19" x14ac:dyDescent="0.25">
      <c r="A123" s="19" t="s">
        <v>38</v>
      </c>
      <c r="B123" s="20">
        <v>2011</v>
      </c>
      <c r="C123" s="19" t="s">
        <v>79</v>
      </c>
      <c r="D123" s="19" t="s">
        <v>239</v>
      </c>
      <c r="E123" s="57" t="s">
        <v>366</v>
      </c>
      <c r="F123" s="57" t="s">
        <v>237</v>
      </c>
      <c r="G123" s="56" t="s">
        <v>275</v>
      </c>
      <c r="H123" s="24">
        <v>7</v>
      </c>
      <c r="I123" s="24">
        <v>12</v>
      </c>
      <c r="J123" s="24">
        <v>459</v>
      </c>
      <c r="K123" s="10"/>
    </row>
    <row r="124" spans="1:19" x14ac:dyDescent="0.25">
      <c r="A124" s="19" t="s">
        <v>38</v>
      </c>
      <c r="B124" s="20">
        <v>2011</v>
      </c>
      <c r="C124" s="19" t="s">
        <v>79</v>
      </c>
      <c r="D124" s="19" t="s">
        <v>239</v>
      </c>
      <c r="E124" s="57" t="s">
        <v>367</v>
      </c>
      <c r="F124" s="57" t="s">
        <v>237</v>
      </c>
      <c r="G124" s="56" t="s">
        <v>275</v>
      </c>
      <c r="H124" s="24">
        <v>7</v>
      </c>
      <c r="I124" s="24">
        <v>12</v>
      </c>
      <c r="J124" s="24">
        <v>473</v>
      </c>
      <c r="K124" s="10"/>
    </row>
    <row r="125" spans="1:19" x14ac:dyDescent="0.25">
      <c r="A125" s="19" t="s">
        <v>210</v>
      </c>
      <c r="B125" s="20">
        <v>1995</v>
      </c>
      <c r="C125" s="19" t="s">
        <v>79</v>
      </c>
      <c r="D125" s="56" t="s">
        <v>239</v>
      </c>
      <c r="E125" s="57" t="s">
        <v>365</v>
      </c>
      <c r="F125" s="57" t="s">
        <v>237</v>
      </c>
      <c r="G125" s="56" t="s">
        <v>275</v>
      </c>
      <c r="H125" s="20">
        <v>18</v>
      </c>
      <c r="I125" s="20">
        <v>267</v>
      </c>
      <c r="J125" s="20">
        <v>29</v>
      </c>
    </row>
    <row r="126" spans="1:19" x14ac:dyDescent="0.25">
      <c r="A126" s="19" t="s">
        <v>210</v>
      </c>
      <c r="B126" s="20">
        <v>1995</v>
      </c>
      <c r="C126" s="19" t="s">
        <v>79</v>
      </c>
      <c r="D126" s="56" t="s">
        <v>239</v>
      </c>
      <c r="E126" s="57" t="s">
        <v>366</v>
      </c>
      <c r="F126" s="57" t="s">
        <v>237</v>
      </c>
      <c r="G126" s="56" t="s">
        <v>275</v>
      </c>
      <c r="H126" s="20">
        <v>33</v>
      </c>
      <c r="I126" s="20">
        <v>232</v>
      </c>
      <c r="J126" s="20">
        <v>29</v>
      </c>
    </row>
    <row r="127" spans="1:19" x14ac:dyDescent="0.25">
      <c r="A127" s="19" t="s">
        <v>210</v>
      </c>
      <c r="B127" s="20">
        <v>1995</v>
      </c>
      <c r="C127" s="19" t="s">
        <v>79</v>
      </c>
      <c r="D127" s="56" t="s">
        <v>239</v>
      </c>
      <c r="E127" s="57" t="s">
        <v>367</v>
      </c>
      <c r="F127" s="57" t="s">
        <v>237</v>
      </c>
      <c r="G127" s="56" t="s">
        <v>275</v>
      </c>
      <c r="H127" s="20">
        <v>33</v>
      </c>
      <c r="I127" s="20">
        <v>232</v>
      </c>
      <c r="J127" s="20">
        <v>47</v>
      </c>
      <c r="K127" s="20"/>
    </row>
    <row r="128" spans="1:19" x14ac:dyDescent="0.25">
      <c r="A128" s="19" t="s">
        <v>92</v>
      </c>
      <c r="B128" s="24">
        <v>2015</v>
      </c>
      <c r="C128" s="40" t="s">
        <v>83</v>
      </c>
      <c r="D128" s="56" t="s">
        <v>239</v>
      </c>
      <c r="E128" s="57" t="s">
        <v>365</v>
      </c>
      <c r="F128" s="57" t="s">
        <v>237</v>
      </c>
      <c r="G128" s="56" t="s">
        <v>275</v>
      </c>
      <c r="H128" s="24">
        <v>98</v>
      </c>
      <c r="I128" s="24">
        <v>998</v>
      </c>
      <c r="J128" s="20">
        <v>457</v>
      </c>
    </row>
    <row r="129" spans="1:11" x14ac:dyDescent="0.25">
      <c r="A129" s="19" t="s">
        <v>92</v>
      </c>
      <c r="B129" s="24">
        <v>2015</v>
      </c>
      <c r="C129" s="40" t="s">
        <v>83</v>
      </c>
      <c r="D129" s="56" t="s">
        <v>239</v>
      </c>
      <c r="E129" s="57" t="s">
        <v>366</v>
      </c>
      <c r="F129" s="57" t="s">
        <v>237</v>
      </c>
      <c r="G129" s="56" t="s">
        <v>275</v>
      </c>
      <c r="H129" s="24">
        <v>26</v>
      </c>
      <c r="I129" s="24">
        <v>140</v>
      </c>
      <c r="J129" s="20">
        <v>457</v>
      </c>
    </row>
    <row r="130" spans="1:11" x14ac:dyDescent="0.25">
      <c r="A130" s="19" t="s">
        <v>92</v>
      </c>
      <c r="B130" s="24">
        <v>2015</v>
      </c>
      <c r="C130" s="40" t="s">
        <v>83</v>
      </c>
      <c r="D130" s="56" t="s">
        <v>239</v>
      </c>
      <c r="E130" s="57" t="s">
        <v>367</v>
      </c>
      <c r="F130" s="57" t="s">
        <v>237</v>
      </c>
      <c r="G130" s="56" t="s">
        <v>275</v>
      </c>
      <c r="H130" s="24">
        <v>26</v>
      </c>
      <c r="I130" s="24">
        <v>140</v>
      </c>
      <c r="J130" s="20">
        <v>555</v>
      </c>
    </row>
    <row r="131" spans="1:11" x14ac:dyDescent="0.25">
      <c r="A131" s="19" t="s">
        <v>212</v>
      </c>
      <c r="B131" s="24">
        <v>1995</v>
      </c>
      <c r="C131" s="23" t="s">
        <v>79</v>
      </c>
      <c r="D131" s="23" t="s">
        <v>239</v>
      </c>
      <c r="E131" s="57" t="s">
        <v>365</v>
      </c>
      <c r="F131" s="57" t="s">
        <v>237</v>
      </c>
      <c r="G131" s="56" t="s">
        <v>372</v>
      </c>
      <c r="H131" s="20">
        <v>162</v>
      </c>
      <c r="I131" s="20">
        <v>2029</v>
      </c>
      <c r="J131" s="20">
        <v>624</v>
      </c>
    </row>
    <row r="132" spans="1:11" x14ac:dyDescent="0.25">
      <c r="A132" s="19" t="s">
        <v>212</v>
      </c>
      <c r="B132" s="20">
        <v>1995</v>
      </c>
      <c r="C132" s="19" t="s">
        <v>79</v>
      </c>
      <c r="D132" s="19" t="s">
        <v>239</v>
      </c>
      <c r="E132" s="57" t="s">
        <v>366</v>
      </c>
      <c r="F132" s="57" t="s">
        <v>237</v>
      </c>
      <c r="G132" s="56" t="s">
        <v>372</v>
      </c>
      <c r="H132" s="20">
        <v>38</v>
      </c>
      <c r="I132" s="20">
        <v>288</v>
      </c>
      <c r="J132" s="20">
        <v>624</v>
      </c>
    </row>
    <row r="133" spans="1:11" x14ac:dyDescent="0.25">
      <c r="A133" s="19" t="s">
        <v>212</v>
      </c>
      <c r="B133" s="20">
        <v>1995</v>
      </c>
      <c r="C133" s="19" t="s">
        <v>79</v>
      </c>
      <c r="D133" s="19" t="s">
        <v>239</v>
      </c>
      <c r="E133" s="57" t="s">
        <v>367</v>
      </c>
      <c r="F133" s="57" t="s">
        <v>237</v>
      </c>
      <c r="G133" s="56" t="s">
        <v>372</v>
      </c>
      <c r="H133" s="20">
        <v>38</v>
      </c>
      <c r="I133" s="20">
        <v>288</v>
      </c>
      <c r="J133" s="20">
        <v>786</v>
      </c>
      <c r="K133" s="20"/>
    </row>
    <row r="134" spans="1:11" x14ac:dyDescent="0.25">
      <c r="A134" s="19" t="s">
        <v>127</v>
      </c>
      <c r="B134" s="20">
        <v>2005</v>
      </c>
      <c r="C134" s="40" t="s">
        <v>83</v>
      </c>
      <c r="D134" s="19" t="s">
        <v>239</v>
      </c>
      <c r="E134" s="57" t="s">
        <v>365</v>
      </c>
      <c r="F134" s="57" t="s">
        <v>237</v>
      </c>
      <c r="G134" s="56" t="s">
        <v>372</v>
      </c>
      <c r="H134" s="20">
        <v>3</v>
      </c>
      <c r="I134" s="20">
        <v>688</v>
      </c>
      <c r="J134" s="20">
        <v>68</v>
      </c>
    </row>
    <row r="135" spans="1:11" x14ac:dyDescent="0.25">
      <c r="A135" s="19" t="s">
        <v>127</v>
      </c>
      <c r="B135" s="20">
        <v>2005</v>
      </c>
      <c r="C135" s="40" t="s">
        <v>83</v>
      </c>
      <c r="D135" s="19" t="s">
        <v>239</v>
      </c>
      <c r="E135" s="57" t="s">
        <v>366</v>
      </c>
      <c r="F135" s="57" t="s">
        <v>237</v>
      </c>
      <c r="G135" s="56" t="s">
        <v>372</v>
      </c>
      <c r="H135" s="20">
        <v>5</v>
      </c>
      <c r="I135" s="20">
        <v>79</v>
      </c>
      <c r="J135" s="20">
        <v>68</v>
      </c>
    </row>
    <row r="136" spans="1:11" x14ac:dyDescent="0.25">
      <c r="A136" s="19" t="s">
        <v>127</v>
      </c>
      <c r="B136" s="20">
        <v>2005</v>
      </c>
      <c r="C136" s="40" t="s">
        <v>83</v>
      </c>
      <c r="D136" s="19" t="s">
        <v>239</v>
      </c>
      <c r="E136" s="57" t="s">
        <v>367</v>
      </c>
      <c r="F136" s="57" t="s">
        <v>237</v>
      </c>
      <c r="G136" s="56" t="s">
        <v>372</v>
      </c>
      <c r="H136" s="20">
        <v>5</v>
      </c>
      <c r="I136" s="20">
        <v>79</v>
      </c>
      <c r="J136" s="20">
        <v>71</v>
      </c>
      <c r="K136" s="20"/>
    </row>
    <row r="137" spans="1:11" x14ac:dyDescent="0.25">
      <c r="A137" s="56" t="s">
        <v>132</v>
      </c>
      <c r="B137" s="56">
        <v>2005</v>
      </c>
      <c r="C137" s="59" t="s">
        <v>79</v>
      </c>
      <c r="D137" s="56" t="s">
        <v>239</v>
      </c>
      <c r="E137" s="57" t="s">
        <v>365</v>
      </c>
      <c r="F137" s="57" t="s">
        <v>237</v>
      </c>
      <c r="G137" s="57" t="s">
        <v>275</v>
      </c>
      <c r="H137" s="56">
        <v>307</v>
      </c>
      <c r="I137" s="56">
        <v>3006</v>
      </c>
      <c r="J137" s="56">
        <f>1221-98</f>
        <v>1123</v>
      </c>
    </row>
    <row r="138" spans="1:11" x14ac:dyDescent="0.25">
      <c r="A138" s="56" t="s">
        <v>132</v>
      </c>
      <c r="B138" s="56">
        <v>2005</v>
      </c>
      <c r="C138" s="59" t="s">
        <v>79</v>
      </c>
      <c r="D138" s="56" t="s">
        <v>239</v>
      </c>
      <c r="E138" s="57" t="s">
        <v>366</v>
      </c>
      <c r="F138" s="57" t="s">
        <v>237</v>
      </c>
      <c r="G138" s="57" t="s">
        <v>275</v>
      </c>
      <c r="H138" s="20">
        <v>98</v>
      </c>
      <c r="I138" s="20">
        <v>577</v>
      </c>
      <c r="J138" s="56">
        <v>1123</v>
      </c>
    </row>
    <row r="139" spans="1:11" x14ac:dyDescent="0.25">
      <c r="A139" s="56" t="s">
        <v>132</v>
      </c>
      <c r="B139" s="56">
        <v>2005</v>
      </c>
      <c r="C139" s="59" t="s">
        <v>79</v>
      </c>
      <c r="D139" s="56" t="s">
        <v>239</v>
      </c>
      <c r="E139" s="57" t="s">
        <v>367</v>
      </c>
      <c r="F139" s="57" t="s">
        <v>237</v>
      </c>
      <c r="G139" s="57" t="s">
        <v>275</v>
      </c>
      <c r="H139" s="56">
        <v>98</v>
      </c>
      <c r="I139" s="56">
        <v>577</v>
      </c>
      <c r="J139" s="56">
        <v>1430</v>
      </c>
    </row>
    <row r="140" spans="1:11" x14ac:dyDescent="0.25">
      <c r="A140" s="56" t="s">
        <v>201</v>
      </c>
      <c r="B140" s="56">
        <v>2017</v>
      </c>
      <c r="C140" s="59" t="s">
        <v>79</v>
      </c>
      <c r="D140" s="56" t="s">
        <v>239</v>
      </c>
      <c r="E140" s="57" t="s">
        <v>365</v>
      </c>
      <c r="F140" s="57" t="s">
        <v>237</v>
      </c>
      <c r="G140" s="57" t="s">
        <v>275</v>
      </c>
      <c r="H140" s="56">
        <v>36</v>
      </c>
      <c r="I140" s="56">
        <v>88</v>
      </c>
      <c r="J140" s="56">
        <v>160</v>
      </c>
    </row>
    <row r="141" spans="1:11" x14ac:dyDescent="0.25">
      <c r="A141" s="56" t="s">
        <v>201</v>
      </c>
      <c r="B141" s="56">
        <v>2017</v>
      </c>
      <c r="C141" s="59" t="s">
        <v>79</v>
      </c>
      <c r="D141" s="56" t="s">
        <v>239</v>
      </c>
      <c r="E141" s="57" t="s">
        <v>366</v>
      </c>
      <c r="F141" s="57" t="s">
        <v>237</v>
      </c>
      <c r="G141" s="57" t="s">
        <v>275</v>
      </c>
      <c r="H141" s="56">
        <v>40</v>
      </c>
      <c r="I141" s="56">
        <v>56</v>
      </c>
      <c r="J141" s="56">
        <v>160</v>
      </c>
    </row>
    <row r="142" spans="1:11" x14ac:dyDescent="0.25">
      <c r="A142" s="56" t="s">
        <v>201</v>
      </c>
      <c r="B142" s="56">
        <v>2017</v>
      </c>
      <c r="C142" s="59" t="s">
        <v>79</v>
      </c>
      <c r="D142" s="56" t="s">
        <v>239</v>
      </c>
      <c r="E142" s="57" t="s">
        <v>367</v>
      </c>
      <c r="F142" s="57" t="s">
        <v>237</v>
      </c>
      <c r="G142" s="57" t="s">
        <v>275</v>
      </c>
      <c r="H142" s="56">
        <v>40</v>
      </c>
      <c r="I142" s="56">
        <v>56</v>
      </c>
      <c r="J142" s="56">
        <v>196</v>
      </c>
    </row>
    <row r="143" spans="1:11" x14ac:dyDescent="0.25">
      <c r="C143" s="59"/>
      <c r="E143" s="57"/>
      <c r="G143" s="57"/>
    </row>
    <row r="144" spans="1:11" x14ac:dyDescent="0.25">
      <c r="A144" s="56" t="s">
        <v>234</v>
      </c>
      <c r="B144" s="56">
        <v>2018</v>
      </c>
      <c r="C144" s="56" t="s">
        <v>79</v>
      </c>
      <c r="D144" s="19" t="s">
        <v>239</v>
      </c>
      <c r="E144" s="57" t="s">
        <v>246</v>
      </c>
      <c r="F144" s="57" t="s">
        <v>237</v>
      </c>
      <c r="G144" s="56">
        <v>6</v>
      </c>
      <c r="H144" s="56">
        <v>1</v>
      </c>
      <c r="I144" s="56">
        <v>7</v>
      </c>
      <c r="J144" s="56">
        <f>126-58</f>
        <v>68</v>
      </c>
    </row>
    <row r="145" spans="1:13" x14ac:dyDescent="0.25">
      <c r="A145" s="56" t="s">
        <v>234</v>
      </c>
      <c r="B145" s="56">
        <v>2018</v>
      </c>
      <c r="C145" s="56" t="s">
        <v>79</v>
      </c>
      <c r="D145" s="19" t="s">
        <v>239</v>
      </c>
      <c r="E145" s="57" t="s">
        <v>245</v>
      </c>
      <c r="F145" s="57" t="s">
        <v>237</v>
      </c>
      <c r="G145" s="56">
        <v>10</v>
      </c>
      <c r="H145" s="56">
        <v>58</v>
      </c>
      <c r="I145" s="56">
        <v>7</v>
      </c>
      <c r="J145" s="56">
        <v>68</v>
      </c>
    </row>
    <row r="146" spans="1:13" x14ac:dyDescent="0.25">
      <c r="A146" s="19" t="s">
        <v>38</v>
      </c>
      <c r="B146" s="20">
        <v>2011</v>
      </c>
      <c r="C146" s="19" t="s">
        <v>79</v>
      </c>
      <c r="D146" s="19" t="s">
        <v>239</v>
      </c>
      <c r="E146" s="19" t="s">
        <v>246</v>
      </c>
      <c r="F146" s="57" t="s">
        <v>237</v>
      </c>
      <c r="G146" s="24">
        <v>17</v>
      </c>
      <c r="H146" s="24">
        <v>89</v>
      </c>
      <c r="I146" s="24">
        <v>459</v>
      </c>
      <c r="J146" s="24">
        <v>1035</v>
      </c>
    </row>
    <row r="147" spans="1:13" x14ac:dyDescent="0.25">
      <c r="A147" s="19" t="s">
        <v>38</v>
      </c>
      <c r="B147" s="20">
        <v>2011</v>
      </c>
      <c r="C147" s="19" t="s">
        <v>79</v>
      </c>
      <c r="D147" s="19" t="s">
        <v>239</v>
      </c>
      <c r="E147" s="19" t="s">
        <v>245</v>
      </c>
      <c r="F147" s="57" t="s">
        <v>237</v>
      </c>
      <c r="G147" s="24">
        <v>4</v>
      </c>
      <c r="H147" s="24">
        <v>42</v>
      </c>
      <c r="I147" s="24">
        <v>459</v>
      </c>
      <c r="J147" s="24">
        <v>1035</v>
      </c>
    </row>
    <row r="148" spans="1:13" x14ac:dyDescent="0.25">
      <c r="A148" s="56" t="s">
        <v>206</v>
      </c>
      <c r="B148" s="56">
        <v>1995</v>
      </c>
      <c r="C148" s="56" t="s">
        <v>285</v>
      </c>
      <c r="D148" s="56" t="s">
        <v>239</v>
      </c>
      <c r="E148" s="56" t="s">
        <v>246</v>
      </c>
      <c r="F148" s="57" t="s">
        <v>237</v>
      </c>
      <c r="G148" s="56">
        <v>11</v>
      </c>
      <c r="H148" s="56">
        <v>59</v>
      </c>
      <c r="I148" s="56">
        <v>17</v>
      </c>
      <c r="J148" s="56">
        <v>339</v>
      </c>
    </row>
    <row r="149" spans="1:13" x14ac:dyDescent="0.25">
      <c r="A149" s="56" t="s">
        <v>206</v>
      </c>
      <c r="B149" s="56">
        <v>1995</v>
      </c>
      <c r="C149" s="56" t="s">
        <v>285</v>
      </c>
      <c r="D149" s="56" t="s">
        <v>239</v>
      </c>
      <c r="E149" s="56" t="s">
        <v>245</v>
      </c>
      <c r="F149" s="57" t="s">
        <v>237</v>
      </c>
      <c r="G149" s="56">
        <v>7</v>
      </c>
      <c r="H149" s="56">
        <v>101</v>
      </c>
      <c r="I149" s="56">
        <v>17</v>
      </c>
      <c r="J149" s="56">
        <v>339</v>
      </c>
    </row>
    <row r="150" spans="1:13" x14ac:dyDescent="0.25">
      <c r="A150" s="56" t="s">
        <v>227</v>
      </c>
      <c r="B150" s="56">
        <v>2018</v>
      </c>
      <c r="C150" s="56" t="s">
        <v>79</v>
      </c>
      <c r="D150" s="56" t="s">
        <v>239</v>
      </c>
      <c r="E150" s="57" t="s">
        <v>246</v>
      </c>
      <c r="F150" s="57" t="s">
        <v>237</v>
      </c>
      <c r="G150" s="56">
        <v>30</v>
      </c>
      <c r="H150" s="56">
        <v>35</v>
      </c>
      <c r="I150" s="56">
        <v>138</v>
      </c>
      <c r="J150" s="56">
        <v>398</v>
      </c>
    </row>
    <row r="151" spans="1:13" x14ac:dyDescent="0.25">
      <c r="A151" s="56" t="s">
        <v>227</v>
      </c>
      <c r="B151" s="56">
        <v>2018</v>
      </c>
      <c r="C151" s="56" t="s">
        <v>79</v>
      </c>
      <c r="D151" s="56" t="s">
        <v>239</v>
      </c>
      <c r="E151" s="57" t="s">
        <v>245</v>
      </c>
      <c r="F151" s="57" t="s">
        <v>237</v>
      </c>
      <c r="G151" s="56">
        <v>23</v>
      </c>
      <c r="H151" s="56">
        <v>67</v>
      </c>
      <c r="I151" s="56">
        <v>138</v>
      </c>
      <c r="J151" s="56">
        <v>398</v>
      </c>
    </row>
    <row r="152" spans="1:13" x14ac:dyDescent="0.25">
      <c r="A152" s="56" t="s">
        <v>133</v>
      </c>
      <c r="B152" s="56">
        <v>2006</v>
      </c>
      <c r="C152" s="59" t="s">
        <v>79</v>
      </c>
      <c r="D152" s="56" t="s">
        <v>239</v>
      </c>
      <c r="E152" s="57" t="s">
        <v>246</v>
      </c>
      <c r="F152" s="57" t="s">
        <v>237</v>
      </c>
      <c r="G152" s="56">
        <v>61</v>
      </c>
      <c r="H152" s="56">
        <v>2964</v>
      </c>
      <c r="I152" s="56">
        <f>6259-912</f>
        <v>5347</v>
      </c>
      <c r="J152" s="56">
        <f>57853-(SUM(G152:I152))</f>
        <v>49481</v>
      </c>
    </row>
    <row r="153" spans="1:13" x14ac:dyDescent="0.25">
      <c r="A153" s="56" t="s">
        <v>108</v>
      </c>
      <c r="B153" s="56">
        <v>2003</v>
      </c>
      <c r="C153" s="59" t="s">
        <v>79</v>
      </c>
      <c r="D153" s="56" t="s">
        <v>239</v>
      </c>
      <c r="E153" s="57" t="s">
        <v>246</v>
      </c>
      <c r="F153" s="57" t="s">
        <v>289</v>
      </c>
      <c r="G153" s="56">
        <v>2</v>
      </c>
      <c r="H153" s="56">
        <v>31</v>
      </c>
      <c r="I153" s="56">
        <v>4</v>
      </c>
      <c r="J153" s="56">
        <f>132-(SUM(G153:I153))</f>
        <v>95</v>
      </c>
    </row>
    <row r="154" spans="1:13" x14ac:dyDescent="0.25">
      <c r="A154" s="56" t="s">
        <v>108</v>
      </c>
      <c r="B154" s="56">
        <v>2003</v>
      </c>
      <c r="C154" s="59" t="s">
        <v>79</v>
      </c>
      <c r="D154" s="56" t="s">
        <v>239</v>
      </c>
      <c r="E154" s="57" t="s">
        <v>245</v>
      </c>
      <c r="F154" s="57" t="s">
        <v>289</v>
      </c>
      <c r="G154" s="56">
        <v>2</v>
      </c>
      <c r="H154" s="56">
        <v>31</v>
      </c>
      <c r="I154" s="56">
        <v>4</v>
      </c>
      <c r="J154" s="56">
        <f>132-(SUM(G154:I154))</f>
        <v>95</v>
      </c>
    </row>
    <row r="155" spans="1:13" x14ac:dyDescent="0.25">
      <c r="A155" s="56" t="s">
        <v>131</v>
      </c>
      <c r="B155" s="56">
        <v>2008</v>
      </c>
      <c r="C155" s="59" t="s">
        <v>158</v>
      </c>
      <c r="D155" s="19" t="s">
        <v>239</v>
      </c>
      <c r="E155" s="57" t="s">
        <v>246</v>
      </c>
      <c r="F155" s="19" t="s">
        <v>237</v>
      </c>
      <c r="G155" s="56">
        <v>4</v>
      </c>
      <c r="H155" s="27">
        <v>13</v>
      </c>
      <c r="I155" s="27">
        <v>34</v>
      </c>
      <c r="J155" s="56">
        <f>350-(SUM(G155:I155))</f>
        <v>299</v>
      </c>
    </row>
    <row r="156" spans="1:13" x14ac:dyDescent="0.25">
      <c r="A156" s="56" t="s">
        <v>131</v>
      </c>
      <c r="B156" s="56">
        <v>2008</v>
      </c>
      <c r="C156" s="59" t="s">
        <v>158</v>
      </c>
      <c r="D156" s="19" t="s">
        <v>239</v>
      </c>
      <c r="E156" s="57" t="s">
        <v>245</v>
      </c>
      <c r="F156" s="19" t="s">
        <v>237</v>
      </c>
      <c r="G156" s="56">
        <v>2</v>
      </c>
      <c r="H156" s="27">
        <v>46</v>
      </c>
      <c r="I156" s="27">
        <v>34</v>
      </c>
      <c r="J156" s="56">
        <f>350-(SUM(G156:I156))</f>
        <v>268</v>
      </c>
    </row>
    <row r="157" spans="1:13" x14ac:dyDescent="0.25">
      <c r="C157" s="31"/>
      <c r="D157" s="19"/>
    </row>
    <row r="158" spans="1:13" x14ac:dyDescent="0.25">
      <c r="C158" s="31"/>
    </row>
    <row r="159" spans="1:13" x14ac:dyDescent="0.25">
      <c r="A159" s="56" t="s">
        <v>226</v>
      </c>
      <c r="B159" s="56">
        <v>2018</v>
      </c>
      <c r="C159" s="56" t="s">
        <v>23</v>
      </c>
      <c r="D159" s="56" t="s">
        <v>239</v>
      </c>
      <c r="E159" s="56" t="s">
        <v>276</v>
      </c>
      <c r="F159" s="57" t="s">
        <v>237</v>
      </c>
      <c r="G159" s="56">
        <v>6</v>
      </c>
      <c r="H159" s="56">
        <v>86</v>
      </c>
      <c r="I159" s="56">
        <v>9</v>
      </c>
      <c r="J159" s="56">
        <v>316</v>
      </c>
      <c r="L159" s="10"/>
      <c r="M159" s="10"/>
    </row>
    <row r="160" spans="1:13" x14ac:dyDescent="0.25">
      <c r="A160" s="56" t="s">
        <v>234</v>
      </c>
      <c r="B160" s="56">
        <v>2018</v>
      </c>
      <c r="C160" s="56" t="s">
        <v>23</v>
      </c>
      <c r="D160" s="19" t="s">
        <v>239</v>
      </c>
      <c r="E160" s="57" t="s">
        <v>276</v>
      </c>
      <c r="F160" s="59" t="s">
        <v>237</v>
      </c>
      <c r="G160" s="56">
        <v>14</v>
      </c>
      <c r="H160" s="56">
        <v>61</v>
      </c>
      <c r="I160" s="56">
        <v>8</v>
      </c>
      <c r="J160" s="56">
        <v>67</v>
      </c>
      <c r="L160" s="10"/>
      <c r="M160" s="10"/>
    </row>
    <row r="161" spans="1:22" x14ac:dyDescent="0.25">
      <c r="A161" s="56" t="s">
        <v>234</v>
      </c>
      <c r="B161" s="56">
        <v>2018</v>
      </c>
      <c r="C161" s="56" t="s">
        <v>23</v>
      </c>
      <c r="D161" s="19" t="s">
        <v>239</v>
      </c>
      <c r="E161" s="57" t="s">
        <v>246</v>
      </c>
      <c r="F161" s="59" t="s">
        <v>237</v>
      </c>
      <c r="G161" s="56">
        <v>4</v>
      </c>
      <c r="H161" s="56">
        <v>3</v>
      </c>
      <c r="I161" s="56">
        <v>8</v>
      </c>
      <c r="J161" s="56">
        <v>67</v>
      </c>
      <c r="L161" s="10"/>
      <c r="M161" s="10"/>
    </row>
    <row r="162" spans="1:22" x14ac:dyDescent="0.25">
      <c r="A162" s="56" t="s">
        <v>234</v>
      </c>
      <c r="B162" s="56">
        <v>2018</v>
      </c>
      <c r="C162" s="56" t="s">
        <v>23</v>
      </c>
      <c r="D162" s="19" t="s">
        <v>239</v>
      </c>
      <c r="E162" s="57" t="s">
        <v>245</v>
      </c>
      <c r="F162" s="59" t="s">
        <v>237</v>
      </c>
      <c r="G162" s="56">
        <v>10</v>
      </c>
      <c r="H162" s="56">
        <v>58</v>
      </c>
      <c r="I162" s="56">
        <v>8</v>
      </c>
      <c r="J162" s="56">
        <v>67</v>
      </c>
      <c r="L162" s="10"/>
      <c r="M162" s="10"/>
    </row>
    <row r="163" spans="1:22" x14ac:dyDescent="0.25">
      <c r="A163" s="56" t="s">
        <v>205</v>
      </c>
      <c r="B163" s="56">
        <v>1995</v>
      </c>
      <c r="C163" s="56" t="s">
        <v>23</v>
      </c>
      <c r="D163" s="19" t="s">
        <v>239</v>
      </c>
      <c r="E163" s="57" t="s">
        <v>91</v>
      </c>
      <c r="F163" s="59" t="s">
        <v>237</v>
      </c>
      <c r="G163" s="56">
        <v>0</v>
      </c>
      <c r="H163" s="56">
        <v>11</v>
      </c>
      <c r="I163" s="56">
        <v>0</v>
      </c>
      <c r="J163" s="56">
        <v>28</v>
      </c>
      <c r="L163" s="10"/>
      <c r="M163" s="43"/>
      <c r="N163" s="29"/>
      <c r="O163" s="59"/>
      <c r="P163" s="59"/>
    </row>
    <row r="164" spans="1:22" x14ac:dyDescent="0.25">
      <c r="A164" s="23" t="s">
        <v>63</v>
      </c>
      <c r="B164" s="24">
        <v>2008</v>
      </c>
      <c r="C164" s="40" t="s">
        <v>23</v>
      </c>
      <c r="D164" s="56" t="s">
        <v>239</v>
      </c>
      <c r="E164" s="57" t="s">
        <v>91</v>
      </c>
      <c r="F164" s="40" t="s">
        <v>257</v>
      </c>
      <c r="G164" s="56">
        <v>4</v>
      </c>
      <c r="H164" s="56">
        <v>65</v>
      </c>
      <c r="I164" s="56">
        <v>5</v>
      </c>
      <c r="J164" s="56">
        <f>202-(SUM(G164:I164))</f>
        <v>128</v>
      </c>
      <c r="K164" s="29"/>
      <c r="L164" s="46"/>
      <c r="M164" s="10"/>
    </row>
    <row r="165" spans="1:22" x14ac:dyDescent="0.25">
      <c r="A165" s="56" t="s">
        <v>293</v>
      </c>
      <c r="B165" s="56">
        <v>2003</v>
      </c>
      <c r="C165" s="56" t="s">
        <v>23</v>
      </c>
      <c r="D165" s="56" t="s">
        <v>239</v>
      </c>
      <c r="E165" s="57" t="s">
        <v>286</v>
      </c>
      <c r="F165" s="59" t="s">
        <v>257</v>
      </c>
      <c r="G165" s="56">
        <v>4</v>
      </c>
      <c r="H165" s="56">
        <v>114</v>
      </c>
      <c r="I165" s="56">
        <v>5</v>
      </c>
      <c r="J165" s="56">
        <v>110</v>
      </c>
    </row>
    <row r="166" spans="1:22" x14ac:dyDescent="0.25">
      <c r="A166" s="56" t="s">
        <v>227</v>
      </c>
      <c r="B166" s="56">
        <v>2018</v>
      </c>
      <c r="C166" s="56" t="s">
        <v>23</v>
      </c>
      <c r="D166" s="56" t="s">
        <v>239</v>
      </c>
      <c r="E166" s="57" t="s">
        <v>91</v>
      </c>
      <c r="F166" s="57" t="s">
        <v>237</v>
      </c>
      <c r="G166" s="56">
        <v>12</v>
      </c>
      <c r="H166" s="56">
        <v>152</v>
      </c>
      <c r="I166" s="56">
        <v>26</v>
      </c>
      <c r="J166" s="56">
        <v>510</v>
      </c>
      <c r="L166" s="10"/>
      <c r="M166" s="10"/>
      <c r="N166" s="48"/>
    </row>
    <row r="167" spans="1:22" x14ac:dyDescent="0.25">
      <c r="A167" s="56" t="s">
        <v>227</v>
      </c>
      <c r="B167" s="56">
        <v>2018</v>
      </c>
      <c r="C167" s="56" t="s">
        <v>23</v>
      </c>
      <c r="D167" s="56" t="s">
        <v>239</v>
      </c>
      <c r="E167" s="57" t="s">
        <v>246</v>
      </c>
      <c r="F167" s="57" t="s">
        <v>237</v>
      </c>
      <c r="G167" s="56">
        <v>12</v>
      </c>
      <c r="H167" s="56">
        <v>53</v>
      </c>
      <c r="I167" s="56">
        <v>26</v>
      </c>
      <c r="J167" s="56">
        <v>510</v>
      </c>
      <c r="N167" s="48"/>
    </row>
    <row r="168" spans="1:22" x14ac:dyDescent="0.25">
      <c r="A168" s="56" t="s">
        <v>227</v>
      </c>
      <c r="B168" s="56">
        <v>2018</v>
      </c>
      <c r="C168" s="56" t="s">
        <v>23</v>
      </c>
      <c r="D168" s="56" t="s">
        <v>239</v>
      </c>
      <c r="E168" s="57" t="s">
        <v>245</v>
      </c>
      <c r="F168" s="57" t="s">
        <v>237</v>
      </c>
      <c r="G168" s="56">
        <v>0</v>
      </c>
      <c r="H168" s="56">
        <v>99</v>
      </c>
      <c r="I168" s="56">
        <v>26</v>
      </c>
      <c r="J168" s="56">
        <v>510</v>
      </c>
      <c r="N168" s="48"/>
    </row>
    <row r="169" spans="1:22" x14ac:dyDescent="0.25">
      <c r="A169" s="56" t="s">
        <v>227</v>
      </c>
      <c r="B169" s="56">
        <v>2018</v>
      </c>
      <c r="C169" s="56" t="s">
        <v>23</v>
      </c>
      <c r="D169" s="56" t="s">
        <v>239</v>
      </c>
      <c r="E169" s="57" t="s">
        <v>155</v>
      </c>
      <c r="F169" s="57" t="s">
        <v>237</v>
      </c>
      <c r="G169" s="56">
        <v>0</v>
      </c>
      <c r="H169" s="56">
        <v>119</v>
      </c>
      <c r="I169" s="56">
        <v>38</v>
      </c>
      <c r="J169" s="56">
        <f>700-SUM(G169:I169)</f>
        <v>543</v>
      </c>
      <c r="N169" s="48"/>
    </row>
    <row r="170" spans="1:22" x14ac:dyDescent="0.25">
      <c r="A170" s="56" t="s">
        <v>227</v>
      </c>
      <c r="B170" s="56">
        <v>2018</v>
      </c>
      <c r="C170" s="56" t="s">
        <v>23</v>
      </c>
      <c r="D170" s="56" t="s">
        <v>239</v>
      </c>
      <c r="E170" s="57" t="s">
        <v>156</v>
      </c>
      <c r="F170" s="57" t="s">
        <v>237</v>
      </c>
      <c r="G170" s="41" t="s">
        <v>361</v>
      </c>
      <c r="H170" s="56">
        <v>33</v>
      </c>
      <c r="I170" s="56">
        <v>26</v>
      </c>
      <c r="J170" s="56">
        <f>700-SUM(G170:I170)</f>
        <v>641</v>
      </c>
      <c r="M170" s="23"/>
      <c r="N170" s="23"/>
      <c r="O170" s="23"/>
      <c r="P170" s="64"/>
      <c r="Q170" s="24"/>
      <c r="R170" s="23"/>
      <c r="S170" s="20"/>
      <c r="T170" s="20"/>
      <c r="U170" s="20"/>
      <c r="V170" s="20"/>
    </row>
    <row r="171" spans="1:22" x14ac:dyDescent="0.25">
      <c r="A171" s="19" t="s">
        <v>75</v>
      </c>
      <c r="B171" s="20">
        <v>2013</v>
      </c>
      <c r="C171" s="19" t="s">
        <v>23</v>
      </c>
      <c r="D171" s="56" t="s">
        <v>239</v>
      </c>
      <c r="E171" s="19" t="s">
        <v>91</v>
      </c>
      <c r="F171" s="57" t="s">
        <v>237</v>
      </c>
      <c r="G171" s="20">
        <v>3466</v>
      </c>
      <c r="H171" s="20">
        <v>58379</v>
      </c>
      <c r="I171" s="20">
        <v>9292</v>
      </c>
      <c r="J171" s="20">
        <v>148200</v>
      </c>
      <c r="M171" s="59"/>
      <c r="N171" s="23"/>
      <c r="O171" s="42"/>
      <c r="P171" s="64"/>
      <c r="Q171" s="59"/>
      <c r="R171" s="23"/>
    </row>
    <row r="172" spans="1:22" x14ac:dyDescent="0.25">
      <c r="A172" s="23" t="s">
        <v>75</v>
      </c>
      <c r="B172" s="24">
        <v>2013</v>
      </c>
      <c r="C172" s="40" t="s">
        <v>23</v>
      </c>
      <c r="D172" s="56" t="s">
        <v>239</v>
      </c>
      <c r="E172" s="40" t="s">
        <v>246</v>
      </c>
      <c r="F172" s="57" t="s">
        <v>237</v>
      </c>
      <c r="G172" s="24">
        <v>956</v>
      </c>
      <c r="H172" s="20">
        <f>14481-G172</f>
        <v>13525</v>
      </c>
      <c r="I172" s="56">
        <v>9292</v>
      </c>
      <c r="J172" s="20">
        <v>148200</v>
      </c>
      <c r="M172" s="59"/>
      <c r="N172" s="23"/>
      <c r="O172" s="42"/>
      <c r="P172" s="64"/>
      <c r="Q172" s="59"/>
      <c r="R172" s="23"/>
    </row>
    <row r="173" spans="1:22" x14ac:dyDescent="0.25">
      <c r="A173" s="23" t="s">
        <v>75</v>
      </c>
      <c r="B173" s="24">
        <v>2013</v>
      </c>
      <c r="C173" s="40" t="s">
        <v>23</v>
      </c>
      <c r="D173" s="56" t="s">
        <v>239</v>
      </c>
      <c r="E173" s="40" t="s">
        <v>245</v>
      </c>
      <c r="F173" s="57" t="s">
        <v>237</v>
      </c>
      <c r="G173" s="24">
        <v>2510</v>
      </c>
      <c r="H173" s="20">
        <f>47364-G173</f>
        <v>44854</v>
      </c>
      <c r="I173" s="56">
        <v>9292</v>
      </c>
      <c r="J173" s="20">
        <v>148200</v>
      </c>
      <c r="M173" s="59"/>
      <c r="N173" s="23"/>
      <c r="O173" s="59"/>
      <c r="P173" s="64"/>
      <c r="Q173" s="59"/>
      <c r="R173" s="23"/>
    </row>
    <row r="174" spans="1:22" x14ac:dyDescent="0.25">
      <c r="A174" s="19" t="s">
        <v>210</v>
      </c>
      <c r="B174" s="20">
        <v>1995</v>
      </c>
      <c r="C174" s="19" t="s">
        <v>23</v>
      </c>
      <c r="D174" s="56" t="s">
        <v>239</v>
      </c>
      <c r="E174" s="19" t="s">
        <v>286</v>
      </c>
      <c r="F174" s="57" t="s">
        <v>237</v>
      </c>
      <c r="G174" s="20">
        <v>59</v>
      </c>
      <c r="H174" s="20">
        <v>491</v>
      </c>
      <c r="I174" s="20">
        <v>34</v>
      </c>
      <c r="J174" s="20">
        <v>516</v>
      </c>
      <c r="M174" s="59"/>
      <c r="N174" s="23"/>
      <c r="O174" s="42"/>
      <c r="P174" s="64"/>
      <c r="Q174" s="59"/>
      <c r="R174" s="23"/>
    </row>
    <row r="175" spans="1:22" x14ac:dyDescent="0.25">
      <c r="A175" s="19" t="s">
        <v>210</v>
      </c>
      <c r="B175" s="20">
        <v>1995</v>
      </c>
      <c r="C175" s="19" t="s">
        <v>23</v>
      </c>
      <c r="D175" s="56" t="s">
        <v>239</v>
      </c>
      <c r="E175" s="19" t="s">
        <v>155</v>
      </c>
      <c r="F175" s="57" t="s">
        <v>237</v>
      </c>
      <c r="G175" s="20">
        <v>22</v>
      </c>
      <c r="H175" s="20">
        <v>263</v>
      </c>
      <c r="I175" s="20">
        <v>71</v>
      </c>
      <c r="J175" s="20">
        <f>1100-SUM(G175:I175)</f>
        <v>744</v>
      </c>
      <c r="M175" s="19"/>
      <c r="O175" s="68"/>
    </row>
    <row r="176" spans="1:22" x14ac:dyDescent="0.25">
      <c r="A176" s="19" t="s">
        <v>210</v>
      </c>
      <c r="B176" s="20">
        <v>1995</v>
      </c>
      <c r="C176" s="19" t="s">
        <v>23</v>
      </c>
      <c r="D176" s="56" t="s">
        <v>239</v>
      </c>
      <c r="E176" s="19" t="s">
        <v>156</v>
      </c>
      <c r="F176" s="57" t="s">
        <v>237</v>
      </c>
      <c r="G176" s="20">
        <v>37</v>
      </c>
      <c r="H176" s="20">
        <v>228</v>
      </c>
      <c r="I176" s="20">
        <v>56</v>
      </c>
      <c r="J176" s="20">
        <f>1100-SUM(G176:I176)</f>
        <v>779</v>
      </c>
    </row>
    <row r="177" spans="1:14" x14ac:dyDescent="0.25">
      <c r="A177" s="19" t="s">
        <v>92</v>
      </c>
      <c r="B177" s="24">
        <v>2015</v>
      </c>
      <c r="C177" s="40" t="s">
        <v>23</v>
      </c>
      <c r="D177" s="56" t="s">
        <v>239</v>
      </c>
      <c r="E177" s="23" t="s">
        <v>91</v>
      </c>
      <c r="F177" s="57" t="s">
        <v>237</v>
      </c>
      <c r="G177" s="24">
        <v>400</v>
      </c>
      <c r="H177" s="24">
        <v>862</v>
      </c>
      <c r="I177" s="20">
        <v>998</v>
      </c>
      <c r="J177" s="20">
        <f>4404-(SUM(G177:I177))</f>
        <v>2144</v>
      </c>
      <c r="K177" s="23"/>
      <c r="L177" s="19"/>
    </row>
    <row r="178" spans="1:14" x14ac:dyDescent="0.25">
      <c r="A178" s="19" t="s">
        <v>92</v>
      </c>
      <c r="B178" s="24">
        <v>2016</v>
      </c>
      <c r="C178" s="40" t="s">
        <v>23</v>
      </c>
      <c r="D178" s="56" t="s">
        <v>239</v>
      </c>
      <c r="E178" s="23" t="s">
        <v>155</v>
      </c>
      <c r="F178" s="57" t="s">
        <v>237</v>
      </c>
      <c r="G178" s="24">
        <v>350</v>
      </c>
      <c r="H178" s="24">
        <f>1096-350</f>
        <v>746</v>
      </c>
      <c r="I178" s="20">
        <f>998+50</f>
        <v>1048</v>
      </c>
      <c r="J178" s="20">
        <f>4404-SUM(G178:I178)</f>
        <v>2260</v>
      </c>
      <c r="K178" s="23"/>
      <c r="L178" s="19"/>
    </row>
    <row r="179" spans="1:14" x14ac:dyDescent="0.25">
      <c r="A179" s="19" t="s">
        <v>92</v>
      </c>
      <c r="B179" s="24">
        <v>2017</v>
      </c>
      <c r="C179" s="40" t="s">
        <v>23</v>
      </c>
      <c r="D179" s="56" t="s">
        <v>239</v>
      </c>
      <c r="E179" s="23" t="s">
        <v>156</v>
      </c>
      <c r="F179" s="57" t="s">
        <v>237</v>
      </c>
      <c r="G179" s="24">
        <v>50</v>
      </c>
      <c r="H179" s="24">
        <v>116</v>
      </c>
      <c r="I179" s="20">
        <f>998+350</f>
        <v>1348</v>
      </c>
      <c r="J179" s="20">
        <f>4404-SUM(G179:I179)</f>
        <v>2890</v>
      </c>
      <c r="K179" s="23"/>
      <c r="L179" s="19"/>
      <c r="M179" s="20"/>
      <c r="N179" s="19"/>
    </row>
    <row r="180" spans="1:14" x14ac:dyDescent="0.25">
      <c r="A180" s="59" t="s">
        <v>127</v>
      </c>
      <c r="B180" s="59">
        <v>2005</v>
      </c>
      <c r="C180" s="42" t="s">
        <v>23</v>
      </c>
      <c r="D180" s="56" t="s">
        <v>239</v>
      </c>
      <c r="E180" s="23" t="s">
        <v>91</v>
      </c>
      <c r="F180" s="57" t="s">
        <v>237</v>
      </c>
      <c r="G180" s="20">
        <v>40</v>
      </c>
      <c r="H180" s="20">
        <v>735</v>
      </c>
      <c r="I180" s="20">
        <v>162</v>
      </c>
      <c r="J180" s="56">
        <f>4426-(SUM(G180:I180))</f>
        <v>3489</v>
      </c>
      <c r="K180" s="24"/>
      <c r="L180" s="24"/>
    </row>
    <row r="181" spans="1:14" x14ac:dyDescent="0.25">
      <c r="A181" s="59" t="s">
        <v>127</v>
      </c>
      <c r="B181" s="59">
        <v>2005</v>
      </c>
      <c r="C181" s="42" t="s">
        <v>23</v>
      </c>
      <c r="D181" s="56" t="s">
        <v>239</v>
      </c>
      <c r="E181" s="23" t="s">
        <v>155</v>
      </c>
      <c r="F181" s="57" t="s">
        <v>237</v>
      </c>
      <c r="G181" s="20">
        <v>36</v>
      </c>
      <c r="H181" s="20">
        <v>655</v>
      </c>
      <c r="I181" s="20">
        <v>166</v>
      </c>
      <c r="J181" s="56">
        <f>4426-(SUM(G181:I181))</f>
        <v>3569</v>
      </c>
      <c r="K181" s="24"/>
      <c r="L181" s="24"/>
    </row>
    <row r="182" spans="1:14" x14ac:dyDescent="0.25">
      <c r="A182" s="59" t="s">
        <v>127</v>
      </c>
      <c r="B182" s="59">
        <v>2005</v>
      </c>
      <c r="C182" s="42" t="s">
        <v>23</v>
      </c>
      <c r="D182" s="56" t="s">
        <v>239</v>
      </c>
      <c r="E182" s="23" t="s">
        <v>156</v>
      </c>
      <c r="F182" s="57" t="s">
        <v>237</v>
      </c>
      <c r="G182" s="20">
        <v>4</v>
      </c>
      <c r="H182" s="20">
        <v>80</v>
      </c>
      <c r="I182" s="20">
        <v>198</v>
      </c>
      <c r="J182" s="56">
        <f>4426-(SUM(G182:I182))</f>
        <v>4144</v>
      </c>
      <c r="K182" s="24"/>
      <c r="L182" s="24"/>
    </row>
    <row r="183" spans="1:14" x14ac:dyDescent="0.25">
      <c r="A183" s="56" t="s">
        <v>229</v>
      </c>
      <c r="B183" s="56">
        <v>2014</v>
      </c>
      <c r="C183" s="56" t="s">
        <v>23</v>
      </c>
      <c r="D183" s="56" t="s">
        <v>239</v>
      </c>
      <c r="E183" s="56" t="s">
        <v>91</v>
      </c>
      <c r="F183" s="19" t="s">
        <v>237</v>
      </c>
      <c r="G183" s="56">
        <v>23</v>
      </c>
      <c r="H183" s="56">
        <v>77</v>
      </c>
      <c r="I183" s="56">
        <v>3</v>
      </c>
      <c r="J183" s="56">
        <v>47</v>
      </c>
    </row>
    <row r="184" spans="1:14" x14ac:dyDescent="0.25">
      <c r="A184" s="56" t="s">
        <v>136</v>
      </c>
      <c r="B184" s="56">
        <v>2005</v>
      </c>
      <c r="C184" s="59" t="s">
        <v>23</v>
      </c>
      <c r="D184" s="56" t="s">
        <v>239</v>
      </c>
      <c r="E184" s="56" t="s">
        <v>91</v>
      </c>
      <c r="F184" s="57" t="s">
        <v>289</v>
      </c>
      <c r="G184" s="56">
        <v>5</v>
      </c>
      <c r="H184" s="56">
        <f>52-G184</f>
        <v>47</v>
      </c>
      <c r="I184" s="56">
        <v>20</v>
      </c>
      <c r="J184" s="56">
        <f>289-(SUM(G184:I184))</f>
        <v>217</v>
      </c>
    </row>
    <row r="185" spans="1:14" s="28" customFormat="1" x14ac:dyDescent="0.25">
      <c r="A185" s="56" t="s">
        <v>132</v>
      </c>
      <c r="B185" s="56">
        <v>2005</v>
      </c>
      <c r="C185" s="42" t="s">
        <v>23</v>
      </c>
      <c r="D185" s="56" t="s">
        <v>239</v>
      </c>
      <c r="E185" s="56" t="s">
        <v>91</v>
      </c>
      <c r="F185" s="19" t="s">
        <v>237</v>
      </c>
      <c r="G185" s="56">
        <v>135</v>
      </c>
      <c r="H185" s="56">
        <f>3980-G185</f>
        <v>3845</v>
      </c>
      <c r="I185" s="56">
        <f>413-135</f>
        <v>278</v>
      </c>
      <c r="J185" s="56">
        <f>11702-(SUM(G185:I185))</f>
        <v>7444</v>
      </c>
      <c r="K185" s="56"/>
      <c r="L185" s="56"/>
      <c r="M185" s="22"/>
      <c r="N185" s="21"/>
    </row>
    <row r="186" spans="1:14" s="28" customFormat="1" x14ac:dyDescent="0.25">
      <c r="A186" s="56" t="s">
        <v>132</v>
      </c>
      <c r="B186" s="56">
        <v>2005</v>
      </c>
      <c r="C186" s="42" t="s">
        <v>23</v>
      </c>
      <c r="D186" s="56" t="s">
        <v>239</v>
      </c>
      <c r="E186" s="56" t="s">
        <v>155</v>
      </c>
      <c r="F186" s="19" t="s">
        <v>237</v>
      </c>
      <c r="G186" s="56">
        <v>109</v>
      </c>
      <c r="H186" s="56">
        <f>3845-649</f>
        <v>3196</v>
      </c>
      <c r="I186" s="56">
        <f>278+26</f>
        <v>304</v>
      </c>
      <c r="J186" s="56">
        <f>11702-(SUM(G186:I186))</f>
        <v>8093</v>
      </c>
      <c r="K186" s="56"/>
      <c r="L186" s="56"/>
      <c r="M186" s="22"/>
      <c r="N186" s="21"/>
    </row>
    <row r="187" spans="1:14" s="28" customFormat="1" x14ac:dyDescent="0.25">
      <c r="A187" s="56" t="s">
        <v>132</v>
      </c>
      <c r="B187" s="56">
        <v>2005</v>
      </c>
      <c r="C187" s="42" t="s">
        <v>23</v>
      </c>
      <c r="D187" s="56" t="s">
        <v>239</v>
      </c>
      <c r="E187" s="56" t="s">
        <v>156</v>
      </c>
      <c r="F187" s="19" t="s">
        <v>237</v>
      </c>
      <c r="G187" s="56">
        <v>26</v>
      </c>
      <c r="H187" s="56">
        <v>649</v>
      </c>
      <c r="I187" s="56">
        <f>278+109</f>
        <v>387</v>
      </c>
      <c r="J187" s="56">
        <f>11702-(SUM(G187:I187))</f>
        <v>10640</v>
      </c>
      <c r="K187" s="56"/>
      <c r="L187" s="56"/>
      <c r="M187" s="22"/>
      <c r="N187" s="21"/>
    </row>
    <row r="188" spans="1:14" x14ac:dyDescent="0.25">
      <c r="A188" s="19" t="s">
        <v>220</v>
      </c>
      <c r="B188" s="20">
        <v>2007</v>
      </c>
      <c r="C188" s="19" t="s">
        <v>23</v>
      </c>
      <c r="D188" s="56" t="s">
        <v>239</v>
      </c>
      <c r="E188" s="56" t="s">
        <v>91</v>
      </c>
      <c r="F188" s="19" t="s">
        <v>237</v>
      </c>
      <c r="G188" s="27">
        <v>29</v>
      </c>
      <c r="H188" s="27">
        <v>88</v>
      </c>
      <c r="I188" s="27">
        <v>73</v>
      </c>
      <c r="J188" s="27">
        <v>322</v>
      </c>
    </row>
    <row r="189" spans="1:14" x14ac:dyDescent="0.25">
      <c r="A189" s="19"/>
      <c r="B189" s="20"/>
      <c r="C189" s="19"/>
      <c r="F189" s="19"/>
      <c r="G189" s="27"/>
      <c r="H189" s="27"/>
      <c r="I189" s="27"/>
      <c r="J189" s="27"/>
    </row>
    <row r="190" spans="1:14" x14ac:dyDescent="0.25">
      <c r="A190" s="19"/>
      <c r="B190" s="20"/>
      <c r="C190" s="19"/>
      <c r="F190" s="19"/>
      <c r="G190" s="27" t="s">
        <v>249</v>
      </c>
      <c r="H190" s="27"/>
      <c r="I190" s="27"/>
      <c r="J190" s="27"/>
    </row>
    <row r="191" spans="1:14" x14ac:dyDescent="0.25">
      <c r="A191" s="56" t="s">
        <v>227</v>
      </c>
      <c r="B191" s="56">
        <v>2018</v>
      </c>
      <c r="C191" s="56" t="s">
        <v>23</v>
      </c>
      <c r="D191" s="56" t="s">
        <v>239</v>
      </c>
      <c r="E191" s="57" t="s">
        <v>365</v>
      </c>
      <c r="F191" s="57" t="s">
        <v>237</v>
      </c>
      <c r="G191" s="57" t="s">
        <v>372</v>
      </c>
      <c r="H191" s="56">
        <v>0</v>
      </c>
      <c r="I191" s="56">
        <v>119</v>
      </c>
      <c r="J191" s="56">
        <v>26</v>
      </c>
      <c r="L191" s="10"/>
    </row>
    <row r="192" spans="1:14" x14ac:dyDescent="0.25">
      <c r="A192" s="56" t="s">
        <v>227</v>
      </c>
      <c r="B192" s="56">
        <v>2018</v>
      </c>
      <c r="C192" s="56" t="s">
        <v>23</v>
      </c>
      <c r="D192" s="56" t="s">
        <v>239</v>
      </c>
      <c r="E192" s="57" t="s">
        <v>366</v>
      </c>
      <c r="F192" s="57" t="s">
        <v>237</v>
      </c>
      <c r="G192" s="57" t="s">
        <v>372</v>
      </c>
      <c r="H192" s="41" t="s">
        <v>361</v>
      </c>
      <c r="I192" s="56">
        <v>33</v>
      </c>
      <c r="J192" s="56">
        <v>26</v>
      </c>
      <c r="L192" s="10"/>
    </row>
    <row r="193" spans="1:18" x14ac:dyDescent="0.25">
      <c r="A193" s="56" t="s">
        <v>227</v>
      </c>
      <c r="B193" s="56">
        <v>2018</v>
      </c>
      <c r="C193" s="56" t="s">
        <v>23</v>
      </c>
      <c r="D193" s="56" t="s">
        <v>239</v>
      </c>
      <c r="E193" s="57" t="s">
        <v>367</v>
      </c>
      <c r="F193" s="57" t="s">
        <v>237</v>
      </c>
      <c r="G193" s="57" t="s">
        <v>372</v>
      </c>
      <c r="H193" s="27">
        <v>12</v>
      </c>
      <c r="I193" s="27">
        <v>33</v>
      </c>
      <c r="J193" s="27">
        <v>26</v>
      </c>
      <c r="K193" s="44"/>
      <c r="L193" s="10"/>
    </row>
    <row r="194" spans="1:18" x14ac:dyDescent="0.25">
      <c r="A194" s="19" t="s">
        <v>210</v>
      </c>
      <c r="B194" s="20">
        <v>1995</v>
      </c>
      <c r="C194" s="19" t="s">
        <v>23</v>
      </c>
      <c r="D194" s="56" t="s">
        <v>239</v>
      </c>
      <c r="E194" s="57" t="s">
        <v>365</v>
      </c>
      <c r="F194" s="57" t="s">
        <v>237</v>
      </c>
      <c r="G194" s="57" t="s">
        <v>275</v>
      </c>
      <c r="H194" s="20">
        <v>22</v>
      </c>
      <c r="I194" s="20">
        <v>263</v>
      </c>
      <c r="J194" s="20">
        <f>71-37</f>
        <v>34</v>
      </c>
    </row>
    <row r="195" spans="1:18" x14ac:dyDescent="0.25">
      <c r="A195" s="19" t="s">
        <v>210</v>
      </c>
      <c r="B195" s="20">
        <v>1995</v>
      </c>
      <c r="C195" s="19" t="s">
        <v>23</v>
      </c>
      <c r="D195" s="56" t="s">
        <v>239</v>
      </c>
      <c r="E195" s="57" t="s">
        <v>366</v>
      </c>
      <c r="F195" s="57" t="s">
        <v>237</v>
      </c>
      <c r="G195" s="57" t="s">
        <v>275</v>
      </c>
      <c r="H195" s="20">
        <v>37</v>
      </c>
      <c r="I195" s="20">
        <v>228</v>
      </c>
      <c r="J195" s="20">
        <v>34</v>
      </c>
    </row>
    <row r="196" spans="1:18" x14ac:dyDescent="0.25">
      <c r="A196" s="19" t="s">
        <v>210</v>
      </c>
      <c r="B196" s="20">
        <v>1995</v>
      </c>
      <c r="C196" s="19" t="s">
        <v>23</v>
      </c>
      <c r="D196" s="56" t="s">
        <v>239</v>
      </c>
      <c r="E196" s="57" t="s">
        <v>367</v>
      </c>
      <c r="F196" s="57" t="s">
        <v>237</v>
      </c>
      <c r="G196" s="57" t="s">
        <v>275</v>
      </c>
      <c r="H196" s="27">
        <v>37</v>
      </c>
      <c r="I196" s="27">
        <v>228</v>
      </c>
      <c r="J196" s="27">
        <v>56</v>
      </c>
    </row>
    <row r="197" spans="1:18" x14ac:dyDescent="0.25">
      <c r="A197" s="19" t="s">
        <v>92</v>
      </c>
      <c r="B197" s="24">
        <v>2016</v>
      </c>
      <c r="C197" s="40" t="s">
        <v>23</v>
      </c>
      <c r="D197" s="56" t="s">
        <v>239</v>
      </c>
      <c r="E197" s="57" t="s">
        <v>365</v>
      </c>
      <c r="F197" s="57" t="s">
        <v>237</v>
      </c>
      <c r="G197" s="57" t="s">
        <v>275</v>
      </c>
      <c r="H197" s="24">
        <v>350</v>
      </c>
      <c r="I197" s="24">
        <f>1096-350</f>
        <v>746</v>
      </c>
      <c r="J197" s="20">
        <v>998</v>
      </c>
    </row>
    <row r="198" spans="1:18" x14ac:dyDescent="0.25">
      <c r="A198" s="19" t="s">
        <v>92</v>
      </c>
      <c r="B198" s="24">
        <v>2016</v>
      </c>
      <c r="C198" s="40" t="s">
        <v>23</v>
      </c>
      <c r="D198" s="56" t="s">
        <v>239</v>
      </c>
      <c r="E198" s="57" t="s">
        <v>366</v>
      </c>
      <c r="F198" s="57" t="s">
        <v>237</v>
      </c>
      <c r="G198" s="57" t="s">
        <v>275</v>
      </c>
      <c r="H198" s="24">
        <v>50</v>
      </c>
      <c r="I198" s="24">
        <v>116</v>
      </c>
      <c r="J198" s="20">
        <v>998</v>
      </c>
    </row>
    <row r="199" spans="1:18" x14ac:dyDescent="0.25">
      <c r="A199" s="19" t="s">
        <v>92</v>
      </c>
      <c r="B199" s="24">
        <v>2016</v>
      </c>
      <c r="C199" s="40" t="s">
        <v>23</v>
      </c>
      <c r="D199" s="56" t="s">
        <v>239</v>
      </c>
      <c r="E199" s="57" t="s">
        <v>367</v>
      </c>
      <c r="F199" s="57" t="s">
        <v>237</v>
      </c>
      <c r="G199" s="57" t="s">
        <v>275</v>
      </c>
      <c r="H199" s="27">
        <v>50</v>
      </c>
      <c r="I199" s="27">
        <v>116</v>
      </c>
      <c r="J199" s="27">
        <f>998+350</f>
        <v>1348</v>
      </c>
    </row>
    <row r="200" spans="1:18" x14ac:dyDescent="0.25">
      <c r="A200" s="59" t="s">
        <v>127</v>
      </c>
      <c r="B200" s="59">
        <v>2005</v>
      </c>
      <c r="C200" s="42" t="s">
        <v>23</v>
      </c>
      <c r="D200" s="56" t="s">
        <v>239</v>
      </c>
      <c r="E200" s="57" t="s">
        <v>365</v>
      </c>
      <c r="F200" s="57" t="s">
        <v>237</v>
      </c>
      <c r="G200" s="57" t="s">
        <v>372</v>
      </c>
      <c r="H200" s="20">
        <v>36</v>
      </c>
      <c r="I200" s="20">
        <v>655</v>
      </c>
      <c r="J200" s="20">
        <v>162</v>
      </c>
    </row>
    <row r="201" spans="1:18" x14ac:dyDescent="0.25">
      <c r="A201" s="59" t="s">
        <v>127</v>
      </c>
      <c r="B201" s="59">
        <v>2005</v>
      </c>
      <c r="C201" s="42" t="s">
        <v>23</v>
      </c>
      <c r="D201" s="56" t="s">
        <v>239</v>
      </c>
      <c r="E201" s="57" t="s">
        <v>366</v>
      </c>
      <c r="F201" s="57" t="s">
        <v>237</v>
      </c>
      <c r="G201" s="57" t="s">
        <v>372</v>
      </c>
      <c r="H201" s="20">
        <v>4</v>
      </c>
      <c r="I201" s="20">
        <v>80</v>
      </c>
      <c r="J201" s="20">
        <v>162</v>
      </c>
    </row>
    <row r="202" spans="1:18" x14ac:dyDescent="0.25">
      <c r="A202" s="59" t="s">
        <v>127</v>
      </c>
      <c r="B202" s="59">
        <v>2005</v>
      </c>
      <c r="C202" s="42" t="s">
        <v>23</v>
      </c>
      <c r="D202" s="56" t="s">
        <v>239</v>
      </c>
      <c r="E202" s="57" t="s">
        <v>367</v>
      </c>
      <c r="F202" s="57" t="s">
        <v>237</v>
      </c>
      <c r="G202" s="57" t="s">
        <v>372</v>
      </c>
      <c r="H202" s="27">
        <v>4</v>
      </c>
      <c r="I202" s="27">
        <v>80</v>
      </c>
      <c r="J202" s="27">
        <v>198</v>
      </c>
    </row>
    <row r="203" spans="1:18" x14ac:dyDescent="0.25">
      <c r="A203" s="56" t="s">
        <v>132</v>
      </c>
      <c r="B203" s="56">
        <v>2005</v>
      </c>
      <c r="C203" s="42" t="s">
        <v>23</v>
      </c>
      <c r="D203" s="56" t="s">
        <v>239</v>
      </c>
      <c r="E203" s="57" t="s">
        <v>365</v>
      </c>
      <c r="F203" s="19" t="s">
        <v>237</v>
      </c>
      <c r="G203" s="57" t="s">
        <v>275</v>
      </c>
      <c r="H203" s="56">
        <v>109</v>
      </c>
      <c r="I203" s="56">
        <f>3845-649</f>
        <v>3196</v>
      </c>
      <c r="J203" s="56">
        <f>304-26</f>
        <v>278</v>
      </c>
    </row>
    <row r="204" spans="1:18" x14ac:dyDescent="0.25">
      <c r="A204" s="56" t="s">
        <v>132</v>
      </c>
      <c r="B204" s="56">
        <v>2005</v>
      </c>
      <c r="C204" s="42" t="s">
        <v>23</v>
      </c>
      <c r="D204" s="56" t="s">
        <v>239</v>
      </c>
      <c r="E204" s="57" t="s">
        <v>366</v>
      </c>
      <c r="F204" s="19" t="s">
        <v>237</v>
      </c>
      <c r="G204" s="57" t="s">
        <v>275</v>
      </c>
      <c r="H204" s="56">
        <v>26</v>
      </c>
      <c r="I204" s="56">
        <v>649</v>
      </c>
      <c r="J204" s="56">
        <f>387-109</f>
        <v>278</v>
      </c>
    </row>
    <row r="205" spans="1:18" s="28" customFormat="1" x14ac:dyDescent="0.25">
      <c r="A205" s="56" t="s">
        <v>132</v>
      </c>
      <c r="B205" s="56">
        <v>2005</v>
      </c>
      <c r="C205" s="42" t="s">
        <v>23</v>
      </c>
      <c r="D205" s="56" t="s">
        <v>239</v>
      </c>
      <c r="E205" s="57" t="s">
        <v>367</v>
      </c>
      <c r="F205" s="19" t="s">
        <v>237</v>
      </c>
      <c r="G205" s="57" t="s">
        <v>275</v>
      </c>
      <c r="H205" s="59">
        <v>26</v>
      </c>
      <c r="I205" s="59">
        <v>649</v>
      </c>
      <c r="J205" s="59">
        <v>387</v>
      </c>
      <c r="K205" s="32"/>
      <c r="L205" s="22"/>
      <c r="M205" s="22"/>
      <c r="N205" s="21"/>
    </row>
    <row r="206" spans="1:18" x14ac:dyDescent="0.25">
      <c r="A206" s="21"/>
      <c r="B206" s="22"/>
      <c r="C206" s="21"/>
      <c r="D206" s="19"/>
      <c r="E206" s="21"/>
      <c r="F206" s="21"/>
      <c r="G206" s="28"/>
      <c r="H206" s="28"/>
      <c r="I206" s="28"/>
      <c r="J206" s="28"/>
      <c r="K206" s="22"/>
      <c r="L206" s="22"/>
      <c r="M206" s="8"/>
    </row>
    <row r="207" spans="1:18" x14ac:dyDescent="0.25">
      <c r="A207" s="56" t="s">
        <v>234</v>
      </c>
      <c r="B207" s="56">
        <v>2018</v>
      </c>
      <c r="C207" s="56" t="s">
        <v>325</v>
      </c>
      <c r="D207" s="19" t="s">
        <v>323</v>
      </c>
      <c r="E207" s="57" t="s">
        <v>91</v>
      </c>
      <c r="F207" s="57" t="s">
        <v>237</v>
      </c>
      <c r="G207" s="56">
        <v>3</v>
      </c>
      <c r="H207" s="56">
        <v>72</v>
      </c>
      <c r="I207" s="56">
        <v>2</v>
      </c>
      <c r="J207" s="56">
        <v>73</v>
      </c>
      <c r="P207" s="19"/>
      <c r="Q207" s="57"/>
      <c r="R207" s="57"/>
    </row>
    <row r="208" spans="1:18" x14ac:dyDescent="0.25">
      <c r="A208" s="56" t="s">
        <v>234</v>
      </c>
      <c r="B208" s="56">
        <v>2018</v>
      </c>
      <c r="C208" s="56" t="s">
        <v>325</v>
      </c>
      <c r="D208" s="19" t="s">
        <v>323</v>
      </c>
      <c r="E208" s="57" t="s">
        <v>246</v>
      </c>
      <c r="F208" s="57" t="s">
        <v>237</v>
      </c>
      <c r="G208" s="56">
        <v>2</v>
      </c>
      <c r="H208" s="56">
        <v>5</v>
      </c>
      <c r="I208" s="56">
        <v>2</v>
      </c>
      <c r="J208" s="56">
        <v>73</v>
      </c>
      <c r="P208" s="19"/>
      <c r="Q208" s="57"/>
      <c r="R208" s="57"/>
    </row>
    <row r="209" spans="1:21" x14ac:dyDescent="0.25">
      <c r="A209" s="56" t="s">
        <v>234</v>
      </c>
      <c r="B209" s="56">
        <v>2018</v>
      </c>
      <c r="C209" s="56" t="s">
        <v>325</v>
      </c>
      <c r="D209" s="19" t="s">
        <v>323</v>
      </c>
      <c r="E209" s="57" t="s">
        <v>245</v>
      </c>
      <c r="F209" s="57" t="s">
        <v>237</v>
      </c>
      <c r="G209" s="56">
        <v>1</v>
      </c>
      <c r="H209" s="56">
        <v>67</v>
      </c>
      <c r="I209" s="56">
        <v>2</v>
      </c>
      <c r="J209" s="56">
        <v>73</v>
      </c>
      <c r="Q209" s="57"/>
      <c r="R209" s="57"/>
    </row>
    <row r="210" spans="1:21" x14ac:dyDescent="0.25">
      <c r="A210" s="56" t="s">
        <v>234</v>
      </c>
      <c r="B210" s="56">
        <v>2018</v>
      </c>
      <c r="C210" s="56" t="s">
        <v>325</v>
      </c>
      <c r="D210" s="19" t="s">
        <v>324</v>
      </c>
      <c r="E210" s="57" t="s">
        <v>91</v>
      </c>
      <c r="F210" s="57" t="s">
        <v>237</v>
      </c>
      <c r="G210" s="56">
        <v>17</v>
      </c>
      <c r="H210" s="56">
        <v>58</v>
      </c>
      <c r="I210" s="56">
        <v>8</v>
      </c>
      <c r="J210" s="56">
        <v>67</v>
      </c>
      <c r="Q210" s="57"/>
      <c r="R210" s="57"/>
    </row>
    <row r="211" spans="1:21" x14ac:dyDescent="0.25">
      <c r="A211" s="56" t="s">
        <v>234</v>
      </c>
      <c r="B211" s="56">
        <v>2018</v>
      </c>
      <c r="C211" s="56" t="s">
        <v>325</v>
      </c>
      <c r="D211" s="19" t="s">
        <v>324</v>
      </c>
      <c r="E211" s="57" t="s">
        <v>246</v>
      </c>
      <c r="F211" s="57" t="s">
        <v>237</v>
      </c>
      <c r="G211" s="56">
        <v>5</v>
      </c>
      <c r="H211" s="56">
        <v>2</v>
      </c>
      <c r="I211" s="56">
        <v>8</v>
      </c>
      <c r="J211" s="56">
        <v>67</v>
      </c>
      <c r="Q211" s="57"/>
      <c r="R211" s="57"/>
    </row>
    <row r="212" spans="1:21" x14ac:dyDescent="0.25">
      <c r="A212" s="56" t="s">
        <v>234</v>
      </c>
      <c r="B212" s="56">
        <v>2018</v>
      </c>
      <c r="C212" s="56" t="s">
        <v>325</v>
      </c>
      <c r="D212" s="19" t="s">
        <v>324</v>
      </c>
      <c r="E212" s="57" t="s">
        <v>245</v>
      </c>
      <c r="F212" s="57" t="s">
        <v>237</v>
      </c>
      <c r="G212" s="56">
        <v>12</v>
      </c>
      <c r="H212" s="56">
        <v>56</v>
      </c>
      <c r="I212" s="56">
        <v>8</v>
      </c>
      <c r="J212" s="56">
        <v>67</v>
      </c>
      <c r="Q212" s="57"/>
      <c r="R212" s="57"/>
    </row>
    <row r="213" spans="1:21" x14ac:dyDescent="0.25">
      <c r="A213" s="56" t="s">
        <v>205</v>
      </c>
      <c r="B213" s="56">
        <v>1995</v>
      </c>
      <c r="C213" s="56" t="s">
        <v>325</v>
      </c>
      <c r="D213" s="56" t="s">
        <v>323</v>
      </c>
      <c r="E213" s="57" t="s">
        <v>91</v>
      </c>
      <c r="F213" s="57" t="s">
        <v>237</v>
      </c>
      <c r="G213" s="56">
        <v>0</v>
      </c>
      <c r="H213" s="56">
        <v>11</v>
      </c>
      <c r="I213" s="56">
        <v>0</v>
      </c>
      <c r="J213" s="56">
        <v>28</v>
      </c>
      <c r="Q213" s="57"/>
      <c r="R213" s="19"/>
      <c r="T213" s="27"/>
      <c r="U213" s="27"/>
    </row>
    <row r="214" spans="1:21" x14ac:dyDescent="0.25">
      <c r="A214" s="56" t="s">
        <v>205</v>
      </c>
      <c r="B214" s="56">
        <v>1995</v>
      </c>
      <c r="C214" s="59" t="s">
        <v>362</v>
      </c>
      <c r="D214" s="56" t="s">
        <v>324</v>
      </c>
      <c r="E214" s="57" t="s">
        <v>91</v>
      </c>
      <c r="F214" s="57" t="s">
        <v>237</v>
      </c>
      <c r="G214" s="56">
        <v>1</v>
      </c>
      <c r="H214" s="56">
        <v>10</v>
      </c>
      <c r="I214" s="56">
        <v>1</v>
      </c>
      <c r="J214" s="56">
        <v>27</v>
      </c>
      <c r="Q214" s="57"/>
      <c r="R214" s="19"/>
      <c r="T214" s="27"/>
      <c r="U214" s="27"/>
    </row>
    <row r="215" spans="1:21" x14ac:dyDescent="0.25">
      <c r="A215" s="56" t="s">
        <v>206</v>
      </c>
      <c r="B215" s="56">
        <v>1995</v>
      </c>
      <c r="C215" s="56" t="s">
        <v>325</v>
      </c>
      <c r="D215" s="56" t="s">
        <v>324</v>
      </c>
      <c r="E215" s="57" t="s">
        <v>91</v>
      </c>
      <c r="F215" s="57" t="s">
        <v>237</v>
      </c>
      <c r="G215" s="56">
        <v>50</v>
      </c>
      <c r="H215" s="56">
        <v>128</v>
      </c>
      <c r="I215" s="56">
        <v>30</v>
      </c>
      <c r="J215" s="56">
        <v>326</v>
      </c>
      <c r="M215" s="19"/>
      <c r="N215" s="29"/>
    </row>
    <row r="216" spans="1:21" x14ac:dyDescent="0.25">
      <c r="A216" s="56" t="s">
        <v>206</v>
      </c>
      <c r="B216" s="56">
        <v>1995</v>
      </c>
      <c r="C216" s="56" t="s">
        <v>325</v>
      </c>
      <c r="D216" s="56" t="s">
        <v>324</v>
      </c>
      <c r="E216" s="57" t="s">
        <v>246</v>
      </c>
      <c r="F216" s="57" t="s">
        <v>237</v>
      </c>
      <c r="G216" s="56">
        <v>43</v>
      </c>
      <c r="H216" s="56">
        <v>27</v>
      </c>
      <c r="I216" s="56">
        <v>30</v>
      </c>
      <c r="J216" s="56">
        <v>326</v>
      </c>
      <c r="M216" s="19"/>
      <c r="N216" s="29"/>
    </row>
    <row r="217" spans="1:21" ht="15.75" customHeight="1" x14ac:dyDescent="0.25">
      <c r="A217" s="56" t="s">
        <v>206</v>
      </c>
      <c r="B217" s="56">
        <v>1995</v>
      </c>
      <c r="C217" s="56" t="s">
        <v>325</v>
      </c>
      <c r="D217" s="56" t="s">
        <v>324</v>
      </c>
      <c r="E217" s="57" t="s">
        <v>245</v>
      </c>
      <c r="F217" s="57" t="s">
        <v>237</v>
      </c>
      <c r="G217" s="56">
        <v>7</v>
      </c>
      <c r="H217" s="56">
        <v>101</v>
      </c>
      <c r="I217" s="56">
        <v>30</v>
      </c>
      <c r="J217" s="56">
        <v>326</v>
      </c>
      <c r="M217" s="19"/>
      <c r="N217" s="29"/>
    </row>
    <row r="218" spans="1:21" x14ac:dyDescent="0.25">
      <c r="A218" s="23" t="s">
        <v>63</v>
      </c>
      <c r="B218" s="24">
        <v>2008</v>
      </c>
      <c r="C218" s="56" t="s">
        <v>325</v>
      </c>
      <c r="D218" s="56" t="s">
        <v>324</v>
      </c>
      <c r="E218" s="57" t="s">
        <v>91</v>
      </c>
      <c r="F218" s="57" t="s">
        <v>257</v>
      </c>
      <c r="G218" s="56">
        <v>5</v>
      </c>
      <c r="H218" s="56">
        <v>64</v>
      </c>
      <c r="I218" s="56">
        <v>6</v>
      </c>
      <c r="J218" s="56">
        <f>202-(SUM(G218:I218))</f>
        <v>127</v>
      </c>
      <c r="K218" s="19"/>
      <c r="L218" s="19"/>
      <c r="M218" s="43"/>
      <c r="N218" s="19"/>
    </row>
    <row r="219" spans="1:21" x14ac:dyDescent="0.25">
      <c r="A219" s="23" t="s">
        <v>63</v>
      </c>
      <c r="B219" s="24">
        <v>2008</v>
      </c>
      <c r="C219" s="56" t="s">
        <v>325</v>
      </c>
      <c r="D219" s="56" t="s">
        <v>323</v>
      </c>
      <c r="E219" s="57" t="s">
        <v>91</v>
      </c>
      <c r="F219" s="57" t="s">
        <v>257</v>
      </c>
      <c r="G219" s="56">
        <v>2</v>
      </c>
      <c r="H219" s="56">
        <v>67</v>
      </c>
      <c r="I219" s="56">
        <v>0</v>
      </c>
      <c r="J219" s="56">
        <f>202-(SUM(G219:I219))</f>
        <v>133</v>
      </c>
      <c r="K219" s="19"/>
      <c r="L219" s="19"/>
      <c r="M219" s="10"/>
    </row>
    <row r="220" spans="1:21" x14ac:dyDescent="0.25">
      <c r="A220" s="56" t="s">
        <v>293</v>
      </c>
      <c r="B220" s="56">
        <v>2003</v>
      </c>
      <c r="C220" s="56" t="s">
        <v>325</v>
      </c>
      <c r="D220" s="56" t="s">
        <v>323</v>
      </c>
      <c r="E220" s="57" t="s">
        <v>91</v>
      </c>
      <c r="F220" s="57" t="s">
        <v>257</v>
      </c>
      <c r="G220" s="56">
        <v>9</v>
      </c>
      <c r="H220" s="56">
        <v>109</v>
      </c>
      <c r="I220" s="56">
        <v>6</v>
      </c>
      <c r="J220" s="56">
        <v>109</v>
      </c>
      <c r="M220" s="10"/>
    </row>
    <row r="221" spans="1:21" x14ac:dyDescent="0.25">
      <c r="A221" s="56" t="s">
        <v>227</v>
      </c>
      <c r="B221" s="56">
        <v>2018</v>
      </c>
      <c r="C221" s="56" t="s">
        <v>325</v>
      </c>
      <c r="D221" s="56" t="s">
        <v>323</v>
      </c>
      <c r="E221" s="57" t="s">
        <v>91</v>
      </c>
      <c r="F221" s="57" t="s">
        <v>237</v>
      </c>
      <c r="G221" s="56">
        <v>2</v>
      </c>
      <c r="H221" s="56">
        <v>162</v>
      </c>
      <c r="I221" s="56">
        <v>2</v>
      </c>
      <c r="J221" s="56">
        <v>534</v>
      </c>
      <c r="M221" s="10"/>
    </row>
    <row r="222" spans="1:21" x14ac:dyDescent="0.25">
      <c r="A222" s="56" t="s">
        <v>227</v>
      </c>
      <c r="B222" s="56">
        <v>2018</v>
      </c>
      <c r="C222" s="56" t="s">
        <v>325</v>
      </c>
      <c r="D222" s="56" t="s">
        <v>323</v>
      </c>
      <c r="E222" s="57" t="s">
        <v>246</v>
      </c>
      <c r="F222" s="57" t="s">
        <v>237</v>
      </c>
      <c r="G222" s="56">
        <v>2</v>
      </c>
      <c r="H222" s="56">
        <v>63</v>
      </c>
      <c r="I222" s="56">
        <v>2</v>
      </c>
      <c r="J222" s="56">
        <v>534</v>
      </c>
      <c r="M222" s="10"/>
    </row>
    <row r="223" spans="1:21" x14ac:dyDescent="0.25">
      <c r="A223" s="56" t="s">
        <v>227</v>
      </c>
      <c r="B223" s="56">
        <v>2018</v>
      </c>
      <c r="C223" s="56" t="s">
        <v>325</v>
      </c>
      <c r="D223" s="56" t="s">
        <v>323</v>
      </c>
      <c r="E223" s="57" t="s">
        <v>245</v>
      </c>
      <c r="F223" s="57" t="s">
        <v>237</v>
      </c>
      <c r="G223" s="56">
        <v>0</v>
      </c>
      <c r="H223" s="56">
        <v>99</v>
      </c>
      <c r="I223" s="56">
        <v>2</v>
      </c>
      <c r="J223" s="56">
        <v>534</v>
      </c>
    </row>
    <row r="224" spans="1:21" x14ac:dyDescent="0.25">
      <c r="A224" s="56" t="s">
        <v>227</v>
      </c>
      <c r="B224" s="56">
        <v>2018</v>
      </c>
      <c r="C224" s="56" t="s">
        <v>325</v>
      </c>
      <c r="D224" s="56" t="s">
        <v>323</v>
      </c>
      <c r="E224" s="57" t="s">
        <v>155</v>
      </c>
      <c r="F224" s="57" t="s">
        <v>237</v>
      </c>
      <c r="G224" s="56">
        <v>0</v>
      </c>
      <c r="H224" s="56">
        <v>119</v>
      </c>
      <c r="I224" s="56">
        <v>4</v>
      </c>
      <c r="J224" s="56">
        <f>700-SUM(G224:I224)</f>
        <v>577</v>
      </c>
    </row>
    <row r="225" spans="1:18" x14ac:dyDescent="0.25">
      <c r="A225" s="56" t="s">
        <v>227</v>
      </c>
      <c r="B225" s="56">
        <v>2018</v>
      </c>
      <c r="C225" s="56" t="s">
        <v>325</v>
      </c>
      <c r="D225" s="56" t="s">
        <v>323</v>
      </c>
      <c r="E225" s="57" t="s">
        <v>156</v>
      </c>
      <c r="F225" s="57" t="s">
        <v>237</v>
      </c>
      <c r="G225" s="56">
        <v>2</v>
      </c>
      <c r="H225" s="56">
        <v>43</v>
      </c>
      <c r="I225" s="56">
        <v>2</v>
      </c>
      <c r="J225" s="56">
        <f>700-SUM(G225:I225)</f>
        <v>653</v>
      </c>
    </row>
    <row r="226" spans="1:18" x14ac:dyDescent="0.25">
      <c r="A226" s="56" t="s">
        <v>227</v>
      </c>
      <c r="B226" s="56">
        <v>2018</v>
      </c>
      <c r="C226" s="56" t="s">
        <v>325</v>
      </c>
      <c r="D226" s="56" t="s">
        <v>324</v>
      </c>
      <c r="E226" s="57" t="s">
        <v>91</v>
      </c>
      <c r="F226" s="57" t="s">
        <v>237</v>
      </c>
      <c r="G226" s="56">
        <v>10</v>
      </c>
      <c r="H226" s="56">
        <v>154</v>
      </c>
      <c r="I226" s="56">
        <v>17</v>
      </c>
      <c r="J226" s="56">
        <f>700-SUM(G226:I226)</f>
        <v>519</v>
      </c>
      <c r="M226" s="19"/>
      <c r="N226" s="48"/>
    </row>
    <row r="227" spans="1:18" x14ac:dyDescent="0.25">
      <c r="A227" s="56" t="s">
        <v>227</v>
      </c>
      <c r="B227" s="56">
        <v>2018</v>
      </c>
      <c r="C227" s="56" t="s">
        <v>325</v>
      </c>
      <c r="D227" s="56" t="s">
        <v>324</v>
      </c>
      <c r="E227" s="57" t="s">
        <v>246</v>
      </c>
      <c r="F227" s="57" t="s">
        <v>237</v>
      </c>
      <c r="G227" s="56">
        <v>10</v>
      </c>
      <c r="H227" s="56">
        <v>55</v>
      </c>
      <c r="I227" s="56">
        <v>17</v>
      </c>
      <c r="J227" s="56">
        <v>519</v>
      </c>
      <c r="M227" s="19"/>
      <c r="N227" s="48"/>
    </row>
    <row r="228" spans="1:18" x14ac:dyDescent="0.25">
      <c r="A228" s="56" t="s">
        <v>227</v>
      </c>
      <c r="B228" s="56">
        <v>2018</v>
      </c>
      <c r="C228" s="56" t="s">
        <v>325</v>
      </c>
      <c r="D228" s="56" t="s">
        <v>324</v>
      </c>
      <c r="E228" s="57" t="s">
        <v>245</v>
      </c>
      <c r="F228" s="57" t="s">
        <v>237</v>
      </c>
      <c r="G228" s="56">
        <v>0</v>
      </c>
      <c r="H228" s="56">
        <v>99</v>
      </c>
      <c r="I228" s="56">
        <v>17</v>
      </c>
      <c r="J228" s="56">
        <v>519</v>
      </c>
      <c r="M228" s="19"/>
      <c r="N228" s="48"/>
    </row>
    <row r="229" spans="1:18" x14ac:dyDescent="0.25">
      <c r="A229" s="56" t="s">
        <v>227</v>
      </c>
      <c r="B229" s="56">
        <v>2018</v>
      </c>
      <c r="C229" s="56" t="s">
        <v>325</v>
      </c>
      <c r="D229" s="56" t="s">
        <v>324</v>
      </c>
      <c r="E229" s="57" t="s">
        <v>155</v>
      </c>
      <c r="F229" s="57" t="s">
        <v>237</v>
      </c>
      <c r="G229" s="56">
        <v>0</v>
      </c>
      <c r="H229" s="56">
        <v>119</v>
      </c>
      <c r="I229" s="56">
        <v>27</v>
      </c>
      <c r="J229" s="56">
        <f>700-SUM(G229:I229)</f>
        <v>554</v>
      </c>
      <c r="M229" s="19"/>
      <c r="N229" s="48"/>
    </row>
    <row r="230" spans="1:18" x14ac:dyDescent="0.25">
      <c r="A230" s="56" t="s">
        <v>227</v>
      </c>
      <c r="B230" s="56">
        <v>2018</v>
      </c>
      <c r="C230" s="56" t="s">
        <v>325</v>
      </c>
      <c r="D230" s="56" t="s">
        <v>324</v>
      </c>
      <c r="E230" s="57" t="s">
        <v>156</v>
      </c>
      <c r="F230" s="57" t="s">
        <v>237</v>
      </c>
      <c r="G230" s="56">
        <v>10</v>
      </c>
      <c r="H230" s="56">
        <v>35</v>
      </c>
      <c r="I230" s="56">
        <v>17</v>
      </c>
      <c r="J230" s="56">
        <f>700-SUM(G230:I230)</f>
        <v>638</v>
      </c>
      <c r="M230" s="19"/>
      <c r="N230" s="48"/>
    </row>
    <row r="231" spans="1:18" x14ac:dyDescent="0.25">
      <c r="A231" s="23" t="s">
        <v>64</v>
      </c>
      <c r="B231" s="24">
        <v>2003</v>
      </c>
      <c r="C231" s="56" t="s">
        <v>325</v>
      </c>
      <c r="D231" s="19" t="s">
        <v>324</v>
      </c>
      <c r="E231" s="19" t="s">
        <v>91</v>
      </c>
      <c r="F231" s="57" t="s">
        <v>237</v>
      </c>
      <c r="G231" s="20">
        <v>6</v>
      </c>
      <c r="H231" s="56">
        <v>41</v>
      </c>
      <c r="I231" s="56">
        <v>4</v>
      </c>
      <c r="J231" s="56">
        <v>116</v>
      </c>
      <c r="K231" s="19"/>
      <c r="L231" s="19"/>
      <c r="N231" s="48"/>
    </row>
    <row r="232" spans="1:18" x14ac:dyDescent="0.25">
      <c r="A232" s="19" t="s">
        <v>210</v>
      </c>
      <c r="B232" s="20">
        <v>1995</v>
      </c>
      <c r="C232" s="56" t="s">
        <v>325</v>
      </c>
      <c r="D232" s="19" t="s">
        <v>323</v>
      </c>
      <c r="E232" s="19" t="s">
        <v>91</v>
      </c>
      <c r="F232" s="57" t="s">
        <v>237</v>
      </c>
      <c r="G232" s="20">
        <v>19</v>
      </c>
      <c r="H232" s="20">
        <v>531</v>
      </c>
      <c r="I232" s="20">
        <v>12</v>
      </c>
      <c r="J232" s="20">
        <v>538</v>
      </c>
      <c r="N232" s="48"/>
    </row>
    <row r="233" spans="1:18" x14ac:dyDescent="0.25">
      <c r="A233" s="19" t="s">
        <v>210</v>
      </c>
      <c r="B233" s="20">
        <v>1995</v>
      </c>
      <c r="C233" s="56" t="s">
        <v>325</v>
      </c>
      <c r="D233" s="19" t="s">
        <v>323</v>
      </c>
      <c r="E233" s="19" t="s">
        <v>155</v>
      </c>
      <c r="F233" s="57" t="s">
        <v>237</v>
      </c>
      <c r="G233" s="20">
        <v>7</v>
      </c>
      <c r="H233" s="20">
        <v>278</v>
      </c>
      <c r="I233" s="20">
        <v>24</v>
      </c>
      <c r="J233" s="20">
        <f>1100-SUM(G233:I233)</f>
        <v>791</v>
      </c>
      <c r="N233" s="48"/>
    </row>
    <row r="234" spans="1:18" x14ac:dyDescent="0.25">
      <c r="A234" s="19" t="s">
        <v>210</v>
      </c>
      <c r="B234" s="20">
        <v>1995</v>
      </c>
      <c r="C234" s="56" t="s">
        <v>325</v>
      </c>
      <c r="D234" s="19" t="s">
        <v>323</v>
      </c>
      <c r="E234" s="19" t="s">
        <v>156</v>
      </c>
      <c r="F234" s="57" t="s">
        <v>237</v>
      </c>
      <c r="G234" s="20">
        <v>12</v>
      </c>
      <c r="H234" s="20">
        <v>253</v>
      </c>
      <c r="I234" s="20">
        <v>19</v>
      </c>
      <c r="J234" s="20">
        <f>1100-SUM(G234:I234)</f>
        <v>816</v>
      </c>
      <c r="N234" s="48"/>
    </row>
    <row r="235" spans="1:18" x14ac:dyDescent="0.25">
      <c r="A235" s="19" t="s">
        <v>210</v>
      </c>
      <c r="B235" s="20">
        <v>1995</v>
      </c>
      <c r="C235" s="56" t="s">
        <v>325</v>
      </c>
      <c r="D235" s="19" t="s">
        <v>324</v>
      </c>
      <c r="E235" s="19" t="s">
        <v>91</v>
      </c>
      <c r="F235" s="57" t="s">
        <v>237</v>
      </c>
      <c r="G235" s="20">
        <v>82</v>
      </c>
      <c r="H235" s="20">
        <v>468</v>
      </c>
      <c r="I235" s="20">
        <v>49</v>
      </c>
      <c r="J235" s="20">
        <v>501</v>
      </c>
      <c r="M235" s="8"/>
    </row>
    <row r="236" spans="1:18" x14ac:dyDescent="0.25">
      <c r="A236" s="19" t="s">
        <v>210</v>
      </c>
      <c r="B236" s="20">
        <v>1995</v>
      </c>
      <c r="C236" s="56" t="s">
        <v>325</v>
      </c>
      <c r="D236" s="19" t="s">
        <v>324</v>
      </c>
      <c r="E236" s="19" t="s">
        <v>155</v>
      </c>
      <c r="F236" s="57" t="s">
        <v>237</v>
      </c>
      <c r="G236" s="20">
        <v>32</v>
      </c>
      <c r="H236" s="20">
        <v>253</v>
      </c>
      <c r="I236" s="20">
        <v>99</v>
      </c>
      <c r="J236" s="20">
        <f>1100-SUM(G236:I236)</f>
        <v>716</v>
      </c>
      <c r="P236" s="19"/>
      <c r="Q236" s="57"/>
      <c r="R236" s="57"/>
    </row>
    <row r="237" spans="1:18" x14ac:dyDescent="0.25">
      <c r="A237" s="19" t="s">
        <v>210</v>
      </c>
      <c r="B237" s="20">
        <v>1995</v>
      </c>
      <c r="C237" s="56" t="s">
        <v>325</v>
      </c>
      <c r="D237" s="19" t="s">
        <v>324</v>
      </c>
      <c r="E237" s="19" t="s">
        <v>156</v>
      </c>
      <c r="F237" s="57" t="s">
        <v>237</v>
      </c>
      <c r="G237" s="20">
        <v>50</v>
      </c>
      <c r="H237" s="20">
        <v>215</v>
      </c>
      <c r="I237" s="20">
        <v>81</v>
      </c>
      <c r="J237" s="20">
        <f>1100-SUM(G237:I237)</f>
        <v>754</v>
      </c>
      <c r="L237" s="23"/>
      <c r="P237" s="19"/>
      <c r="Q237" s="57"/>
      <c r="R237" s="57"/>
    </row>
    <row r="238" spans="1:18" x14ac:dyDescent="0.25">
      <c r="A238" s="19" t="s">
        <v>384</v>
      </c>
      <c r="B238" s="20">
        <v>2015</v>
      </c>
      <c r="C238" s="56" t="s">
        <v>325</v>
      </c>
      <c r="D238" s="19" t="s">
        <v>324</v>
      </c>
      <c r="E238" s="19" t="s">
        <v>91</v>
      </c>
      <c r="F238" s="57" t="s">
        <v>237</v>
      </c>
      <c r="G238" s="20">
        <v>41</v>
      </c>
      <c r="H238" s="20">
        <v>1410</v>
      </c>
      <c r="I238" s="20">
        <v>80</v>
      </c>
      <c r="J238" s="20">
        <f>4733-80</f>
        <v>4653</v>
      </c>
      <c r="L238" s="23"/>
      <c r="P238" s="19"/>
      <c r="Q238" s="57"/>
      <c r="R238" s="57"/>
    </row>
    <row r="239" spans="1:18" x14ac:dyDescent="0.25">
      <c r="A239" s="19" t="s">
        <v>384</v>
      </c>
      <c r="B239" s="20">
        <v>2015</v>
      </c>
      <c r="C239" s="56" t="s">
        <v>325</v>
      </c>
      <c r="D239" s="19" t="s">
        <v>323</v>
      </c>
      <c r="E239" s="19" t="s">
        <v>91</v>
      </c>
      <c r="F239" s="57" t="s">
        <v>237</v>
      </c>
      <c r="G239" s="20">
        <v>6</v>
      </c>
      <c r="H239" s="20">
        <v>1445</v>
      </c>
      <c r="I239" s="20">
        <v>9</v>
      </c>
      <c r="J239" s="20">
        <v>4724</v>
      </c>
      <c r="L239" s="23"/>
      <c r="P239" s="19"/>
      <c r="Q239" s="57"/>
      <c r="R239" s="57"/>
    </row>
    <row r="240" spans="1:18" x14ac:dyDescent="0.25">
      <c r="A240" s="19" t="s">
        <v>92</v>
      </c>
      <c r="B240" s="24">
        <v>2015</v>
      </c>
      <c r="C240" s="56" t="s">
        <v>325</v>
      </c>
      <c r="D240" s="23" t="s">
        <v>323</v>
      </c>
      <c r="E240" s="19" t="s">
        <v>91</v>
      </c>
      <c r="F240" s="57" t="s">
        <v>237</v>
      </c>
      <c r="G240" s="24">
        <v>1</v>
      </c>
      <c r="H240" s="24">
        <v>1261</v>
      </c>
      <c r="I240" s="20">
        <v>2</v>
      </c>
      <c r="J240" s="20">
        <f>4404-(SUM(G240:I240))</f>
        <v>3140</v>
      </c>
      <c r="K240" s="23"/>
      <c r="Q240" s="57"/>
      <c r="R240" s="57"/>
    </row>
    <row r="241" spans="1:21" x14ac:dyDescent="0.25">
      <c r="A241" s="19" t="s">
        <v>92</v>
      </c>
      <c r="B241" s="24">
        <v>2015</v>
      </c>
      <c r="C241" s="56" t="s">
        <v>325</v>
      </c>
      <c r="D241" s="19" t="s">
        <v>323</v>
      </c>
      <c r="E241" s="19" t="s">
        <v>155</v>
      </c>
      <c r="F241" s="57" t="s">
        <v>237</v>
      </c>
      <c r="G241" s="24">
        <v>1</v>
      </c>
      <c r="H241" s="24">
        <v>1095</v>
      </c>
      <c r="I241" s="20">
        <v>2</v>
      </c>
      <c r="J241" s="20">
        <f>4404-(SUM(G241:I241))</f>
        <v>3306</v>
      </c>
      <c r="K241" s="23"/>
      <c r="Q241" s="57"/>
      <c r="R241" s="57"/>
    </row>
    <row r="242" spans="1:21" x14ac:dyDescent="0.25">
      <c r="A242" s="19" t="s">
        <v>92</v>
      </c>
      <c r="B242" s="24">
        <v>2015</v>
      </c>
      <c r="C242" s="56" t="s">
        <v>325</v>
      </c>
      <c r="D242" s="19" t="s">
        <v>323</v>
      </c>
      <c r="E242" s="19" t="s">
        <v>156</v>
      </c>
      <c r="F242" s="57" t="s">
        <v>237</v>
      </c>
      <c r="G242" s="24">
        <v>0</v>
      </c>
      <c r="H242" s="24">
        <v>166</v>
      </c>
      <c r="I242" s="20">
        <v>3</v>
      </c>
      <c r="J242" s="20">
        <f>4404-(SUM(G242:I242))</f>
        <v>4235</v>
      </c>
      <c r="K242" s="23"/>
      <c r="P242" s="23"/>
      <c r="Q242" s="57"/>
      <c r="R242" s="19"/>
      <c r="T242" s="27"/>
      <c r="U242" s="27"/>
    </row>
    <row r="243" spans="1:21" x14ac:dyDescent="0.25">
      <c r="A243" s="19" t="s">
        <v>92</v>
      </c>
      <c r="B243" s="24">
        <v>2015</v>
      </c>
      <c r="C243" s="56" t="s">
        <v>325</v>
      </c>
      <c r="D243" s="19" t="s">
        <v>324</v>
      </c>
      <c r="E243" s="19" t="s">
        <v>91</v>
      </c>
      <c r="F243" s="57" t="s">
        <v>237</v>
      </c>
      <c r="G243" s="24">
        <v>16</v>
      </c>
      <c r="H243" s="24">
        <v>1246</v>
      </c>
      <c r="I243" s="20">
        <v>28</v>
      </c>
      <c r="J243" s="20">
        <v>3114</v>
      </c>
      <c r="K243" s="23"/>
      <c r="P243" s="23"/>
      <c r="Q243" s="57"/>
      <c r="R243" s="19"/>
      <c r="T243" s="27"/>
      <c r="U243" s="27"/>
    </row>
    <row r="244" spans="1:21" x14ac:dyDescent="0.25">
      <c r="A244" s="19" t="s">
        <v>92</v>
      </c>
      <c r="B244" s="24">
        <v>2015</v>
      </c>
      <c r="C244" s="56" t="s">
        <v>325</v>
      </c>
      <c r="D244" s="19" t="s">
        <v>324</v>
      </c>
      <c r="E244" s="19" t="s">
        <v>155</v>
      </c>
      <c r="F244" s="57" t="s">
        <v>237</v>
      </c>
      <c r="G244" s="24">
        <v>13</v>
      </c>
      <c r="H244" s="24">
        <v>1083</v>
      </c>
      <c r="I244" s="20">
        <v>31</v>
      </c>
      <c r="J244" s="20">
        <f>4404-SUM(G244:I244)</f>
        <v>3277</v>
      </c>
      <c r="K244" s="23"/>
    </row>
    <row r="245" spans="1:21" x14ac:dyDescent="0.25">
      <c r="A245" s="19" t="s">
        <v>92</v>
      </c>
      <c r="B245" s="24">
        <v>2015</v>
      </c>
      <c r="C245" s="56" t="s">
        <v>325</v>
      </c>
      <c r="D245" s="19" t="s">
        <v>324</v>
      </c>
      <c r="E245" s="19" t="s">
        <v>156</v>
      </c>
      <c r="F245" s="57" t="s">
        <v>237</v>
      </c>
      <c r="G245" s="24">
        <v>3</v>
      </c>
      <c r="H245" s="24">
        <v>163</v>
      </c>
      <c r="I245" s="20">
        <v>41</v>
      </c>
      <c r="J245" s="20">
        <f>4404-SUM(G245:I245)</f>
        <v>4197</v>
      </c>
      <c r="K245" s="23"/>
    </row>
    <row r="246" spans="1:21" x14ac:dyDescent="0.25">
      <c r="A246" s="19" t="s">
        <v>212</v>
      </c>
      <c r="B246" s="24">
        <v>1995</v>
      </c>
      <c r="C246" s="56" t="s">
        <v>325</v>
      </c>
      <c r="D246" s="23" t="s">
        <v>323</v>
      </c>
      <c r="E246" s="23" t="s">
        <v>91</v>
      </c>
      <c r="F246" s="57" t="s">
        <v>237</v>
      </c>
      <c r="G246" s="20">
        <v>47</v>
      </c>
      <c r="H246" s="20">
        <v>2470</v>
      </c>
      <c r="I246" s="20">
        <v>101</v>
      </c>
      <c r="J246" s="20">
        <v>5947</v>
      </c>
    </row>
    <row r="247" spans="1:21" x14ac:dyDescent="0.25">
      <c r="A247" s="19" t="s">
        <v>212</v>
      </c>
      <c r="B247" s="24">
        <v>1995</v>
      </c>
      <c r="C247" s="56" t="s">
        <v>325</v>
      </c>
      <c r="D247" s="23" t="s">
        <v>323</v>
      </c>
      <c r="E247" s="23" t="s">
        <v>155</v>
      </c>
      <c r="F247" s="57" t="s">
        <v>237</v>
      </c>
      <c r="G247" s="20">
        <v>42</v>
      </c>
      <c r="H247" s="20">
        <v>2149</v>
      </c>
      <c r="I247" s="20">
        <v>106</v>
      </c>
      <c r="J247" s="20">
        <f>SUM(G246:J246)-SUM(G247:I247)</f>
        <v>6268</v>
      </c>
    </row>
    <row r="248" spans="1:21" x14ac:dyDescent="0.25">
      <c r="A248" s="19" t="s">
        <v>212</v>
      </c>
      <c r="B248" s="24">
        <v>1995</v>
      </c>
      <c r="C248" s="56" t="s">
        <v>325</v>
      </c>
      <c r="D248" s="23" t="s">
        <v>323</v>
      </c>
      <c r="E248" s="23" t="s">
        <v>156</v>
      </c>
      <c r="F248" s="57" t="s">
        <v>237</v>
      </c>
      <c r="G248" s="20">
        <v>5</v>
      </c>
      <c r="H248" s="20">
        <v>321</v>
      </c>
      <c r="I248" s="20">
        <v>143</v>
      </c>
      <c r="J248" s="20">
        <f>SUM(G246:J246)-SUM(G248:I248)</f>
        <v>8096</v>
      </c>
    </row>
    <row r="249" spans="1:21" x14ac:dyDescent="0.25">
      <c r="A249" s="19" t="s">
        <v>213</v>
      </c>
      <c r="B249" s="20">
        <v>1993</v>
      </c>
      <c r="C249" s="56" t="s">
        <v>325</v>
      </c>
      <c r="D249" s="23" t="s">
        <v>323</v>
      </c>
      <c r="E249" s="23" t="s">
        <v>156</v>
      </c>
      <c r="F249" s="57" t="s">
        <v>237</v>
      </c>
      <c r="G249" s="20">
        <v>4</v>
      </c>
      <c r="H249" s="20">
        <v>1012</v>
      </c>
      <c r="I249" s="20">
        <v>20</v>
      </c>
      <c r="J249" s="20">
        <v>2831</v>
      </c>
      <c r="N249" s="48"/>
    </row>
    <row r="250" spans="1:21" x14ac:dyDescent="0.25">
      <c r="A250" s="56" t="s">
        <v>134</v>
      </c>
      <c r="B250" s="56">
        <v>1992</v>
      </c>
      <c r="C250" s="56" t="s">
        <v>325</v>
      </c>
      <c r="D250" s="56" t="s">
        <v>324</v>
      </c>
      <c r="E250" s="23" t="s">
        <v>91</v>
      </c>
      <c r="F250" s="57" t="s">
        <v>237</v>
      </c>
      <c r="G250" s="20">
        <v>14</v>
      </c>
      <c r="H250" s="20">
        <v>153</v>
      </c>
      <c r="I250" s="20">
        <v>25</v>
      </c>
      <c r="J250" s="56">
        <f>706-(SUM(G250:I250))</f>
        <v>514</v>
      </c>
    </row>
    <row r="251" spans="1:21" x14ac:dyDescent="0.25">
      <c r="A251" s="56" t="s">
        <v>134</v>
      </c>
      <c r="B251" s="56">
        <v>1992</v>
      </c>
      <c r="C251" s="56" t="s">
        <v>325</v>
      </c>
      <c r="D251" s="56" t="s">
        <v>323</v>
      </c>
      <c r="E251" s="23" t="s">
        <v>91</v>
      </c>
      <c r="F251" s="57" t="s">
        <v>237</v>
      </c>
      <c r="G251" s="20">
        <v>2</v>
      </c>
      <c r="H251" s="20">
        <v>165</v>
      </c>
      <c r="I251" s="20">
        <v>5</v>
      </c>
      <c r="J251" s="56">
        <f>706-(SUM(G251:I251))</f>
        <v>534</v>
      </c>
      <c r="M251" s="19"/>
      <c r="N251" s="19"/>
    </row>
    <row r="252" spans="1:21" x14ac:dyDescent="0.25">
      <c r="A252" s="23" t="s">
        <v>127</v>
      </c>
      <c r="B252" s="24">
        <v>2005</v>
      </c>
      <c r="C252" s="56" t="s">
        <v>325</v>
      </c>
      <c r="D252" s="19" t="s">
        <v>323</v>
      </c>
      <c r="E252" s="23" t="s">
        <v>91</v>
      </c>
      <c r="F252" s="57" t="s">
        <v>237</v>
      </c>
      <c r="G252" s="20">
        <v>9</v>
      </c>
      <c r="H252" s="20">
        <v>766</v>
      </c>
      <c r="I252" s="20">
        <v>33</v>
      </c>
      <c r="J252" s="56">
        <f>4426-(SUM(G252:I252))</f>
        <v>3618</v>
      </c>
      <c r="K252" s="24"/>
      <c r="L252" s="24"/>
    </row>
    <row r="253" spans="1:21" x14ac:dyDescent="0.25">
      <c r="A253" s="23" t="s">
        <v>127</v>
      </c>
      <c r="B253" s="24">
        <v>2005</v>
      </c>
      <c r="C253" s="56" t="s">
        <v>325</v>
      </c>
      <c r="D253" s="19" t="s">
        <v>323</v>
      </c>
      <c r="E253" s="23" t="s">
        <v>155</v>
      </c>
      <c r="F253" s="57" t="s">
        <v>237</v>
      </c>
      <c r="G253" s="20">
        <v>9</v>
      </c>
      <c r="H253" s="20">
        <v>682</v>
      </c>
      <c r="I253" s="20">
        <v>33</v>
      </c>
      <c r="J253" s="56">
        <f>4426-(SUM(G253:I253))</f>
        <v>3702</v>
      </c>
      <c r="K253" s="24"/>
      <c r="L253" s="24"/>
    </row>
    <row r="254" spans="1:21" x14ac:dyDescent="0.25">
      <c r="A254" s="23" t="s">
        <v>127</v>
      </c>
      <c r="B254" s="24">
        <v>2005</v>
      </c>
      <c r="C254" s="56" t="s">
        <v>325</v>
      </c>
      <c r="D254" s="19" t="s">
        <v>323</v>
      </c>
      <c r="E254" s="23" t="s">
        <v>156</v>
      </c>
      <c r="F254" s="57" t="s">
        <v>237</v>
      </c>
      <c r="G254" s="20">
        <v>0</v>
      </c>
      <c r="H254" s="20">
        <v>84</v>
      </c>
      <c r="I254" s="20">
        <v>41</v>
      </c>
      <c r="J254" s="56">
        <f>4426-(SUM(G254:I254))</f>
        <v>4301</v>
      </c>
      <c r="K254" s="24"/>
      <c r="L254" s="24"/>
    </row>
    <row r="255" spans="1:21" x14ac:dyDescent="0.25">
      <c r="A255" s="56" t="s">
        <v>236</v>
      </c>
      <c r="B255" s="56">
        <v>2008</v>
      </c>
      <c r="C255" s="56" t="s">
        <v>325</v>
      </c>
      <c r="D255" s="56" t="s">
        <v>324</v>
      </c>
      <c r="E255" s="57" t="s">
        <v>156</v>
      </c>
      <c r="F255" s="57" t="s">
        <v>237</v>
      </c>
      <c r="G255" s="24">
        <v>9</v>
      </c>
      <c r="H255" s="56">
        <v>23</v>
      </c>
      <c r="I255" s="56">
        <v>15</v>
      </c>
      <c r="J255" s="56">
        <v>145</v>
      </c>
    </row>
    <row r="256" spans="1:21" x14ac:dyDescent="0.25">
      <c r="A256" s="56" t="s">
        <v>136</v>
      </c>
      <c r="B256" s="56">
        <v>2005</v>
      </c>
      <c r="C256" s="56" t="s">
        <v>325</v>
      </c>
      <c r="D256" s="56" t="s">
        <v>324</v>
      </c>
      <c r="E256" s="23" t="s">
        <v>91</v>
      </c>
      <c r="F256" s="57" t="s">
        <v>237</v>
      </c>
      <c r="G256" s="56">
        <v>7</v>
      </c>
      <c r="H256" s="56">
        <f>52-G256</f>
        <v>45</v>
      </c>
      <c r="I256" s="56">
        <v>25</v>
      </c>
      <c r="J256" s="56">
        <f>289-(SUM(G256:I256))</f>
        <v>212</v>
      </c>
    </row>
    <row r="257" spans="1:22" x14ac:dyDescent="0.25">
      <c r="A257" s="56" t="s">
        <v>136</v>
      </c>
      <c r="B257" s="56">
        <v>2005</v>
      </c>
      <c r="C257" s="56" t="s">
        <v>325</v>
      </c>
      <c r="D257" s="23" t="s">
        <v>323</v>
      </c>
      <c r="E257" s="23" t="s">
        <v>91</v>
      </c>
      <c r="F257" s="57" t="s">
        <v>237</v>
      </c>
      <c r="G257" s="56">
        <v>0</v>
      </c>
      <c r="H257" s="56">
        <f>52-G257</f>
        <v>52</v>
      </c>
      <c r="I257" s="56">
        <v>3</v>
      </c>
      <c r="J257" s="56">
        <f>289-(SUM(G257:I257))</f>
        <v>234</v>
      </c>
    </row>
    <row r="258" spans="1:22" x14ac:dyDescent="0.25">
      <c r="A258" s="19" t="s">
        <v>218</v>
      </c>
      <c r="B258" s="20">
        <v>1968</v>
      </c>
      <c r="C258" s="56" t="s">
        <v>325</v>
      </c>
      <c r="D258" s="23" t="s">
        <v>323</v>
      </c>
      <c r="E258" s="23" t="s">
        <v>91</v>
      </c>
      <c r="F258" s="57" t="s">
        <v>237</v>
      </c>
      <c r="G258" s="20">
        <v>19</v>
      </c>
      <c r="H258" s="20">
        <v>353</v>
      </c>
      <c r="I258" s="20">
        <v>30</v>
      </c>
      <c r="J258" s="20">
        <v>1205</v>
      </c>
      <c r="O258" s="30"/>
      <c r="Q258" s="28"/>
      <c r="R258" s="28"/>
      <c r="S258" s="28"/>
    </row>
    <row r="259" spans="1:22" s="59" customFormat="1" x14ac:dyDescent="0.25">
      <c r="A259" s="59" t="s">
        <v>132</v>
      </c>
      <c r="B259" s="59">
        <v>2005</v>
      </c>
      <c r="C259" s="59" t="s">
        <v>325</v>
      </c>
      <c r="D259" s="59" t="s">
        <v>324</v>
      </c>
      <c r="E259" s="59" t="s">
        <v>91</v>
      </c>
      <c r="F259" s="23" t="s">
        <v>237</v>
      </c>
      <c r="G259" s="59">
        <f>324+89</f>
        <v>413</v>
      </c>
      <c r="H259" s="59">
        <f>3980-G259</f>
        <v>3567</v>
      </c>
      <c r="I259" s="59">
        <f>815-413</f>
        <v>402</v>
      </c>
      <c r="J259" s="59">
        <f t="shared" ref="J259:J264" si="1">11702-(SUM(G259:I259))</f>
        <v>7320</v>
      </c>
      <c r="N259" s="23"/>
    </row>
    <row r="260" spans="1:22" s="59" customFormat="1" x14ac:dyDescent="0.25">
      <c r="A260" s="59" t="s">
        <v>132</v>
      </c>
      <c r="B260" s="59">
        <v>2005</v>
      </c>
      <c r="C260" s="59" t="s">
        <v>325</v>
      </c>
      <c r="D260" s="59" t="s">
        <v>324</v>
      </c>
      <c r="E260" s="59" t="s">
        <v>155</v>
      </c>
      <c r="F260" s="23" t="s">
        <v>237</v>
      </c>
      <c r="G260" s="59">
        <f>413-77</f>
        <v>336</v>
      </c>
      <c r="H260" s="59">
        <f>H259-H261</f>
        <v>2972</v>
      </c>
      <c r="I260" s="59">
        <f>402+77</f>
        <v>479</v>
      </c>
      <c r="J260" s="59">
        <f t="shared" si="1"/>
        <v>7915</v>
      </c>
      <c r="N260" s="23"/>
    </row>
    <row r="261" spans="1:22" s="59" customFormat="1" x14ac:dyDescent="0.25">
      <c r="A261" s="59" t="s">
        <v>132</v>
      </c>
      <c r="B261" s="59">
        <v>2005</v>
      </c>
      <c r="C261" s="59" t="s">
        <v>325</v>
      </c>
      <c r="D261" s="59" t="s">
        <v>324</v>
      </c>
      <c r="E261" s="59" t="s">
        <v>156</v>
      </c>
      <c r="F261" s="23" t="s">
        <v>237</v>
      </c>
      <c r="G261" s="59">
        <v>77</v>
      </c>
      <c r="H261" s="59">
        <f>672-77</f>
        <v>595</v>
      </c>
      <c r="I261" s="59">
        <f>402+336</f>
        <v>738</v>
      </c>
      <c r="J261" s="59">
        <f t="shared" si="1"/>
        <v>10292</v>
      </c>
      <c r="N261" s="23"/>
    </row>
    <row r="262" spans="1:22" x14ac:dyDescent="0.25">
      <c r="A262" s="56" t="s">
        <v>132</v>
      </c>
      <c r="B262" s="56">
        <v>2005</v>
      </c>
      <c r="C262" s="56" t="s">
        <v>325</v>
      </c>
      <c r="D262" s="23" t="s">
        <v>323</v>
      </c>
      <c r="E262" s="57" t="s">
        <v>91</v>
      </c>
      <c r="F262" s="19" t="s">
        <v>237</v>
      </c>
      <c r="G262" s="56">
        <v>33</v>
      </c>
      <c r="H262" s="56">
        <f>3980-G262</f>
        <v>3947</v>
      </c>
      <c r="I262" s="56">
        <f>91-33</f>
        <v>58</v>
      </c>
      <c r="J262" s="56">
        <f t="shared" si="1"/>
        <v>7664</v>
      </c>
    </row>
    <row r="263" spans="1:22" x14ac:dyDescent="0.25">
      <c r="A263" s="56" t="s">
        <v>132</v>
      </c>
      <c r="B263" s="56">
        <v>2005</v>
      </c>
      <c r="C263" s="56" t="s">
        <v>325</v>
      </c>
      <c r="D263" s="23" t="s">
        <v>323</v>
      </c>
      <c r="E263" s="57" t="s">
        <v>155</v>
      </c>
      <c r="F263" s="19" t="s">
        <v>237</v>
      </c>
      <c r="G263" s="56">
        <v>4</v>
      </c>
      <c r="H263" s="56">
        <f>3947-669</f>
        <v>3278</v>
      </c>
      <c r="I263" s="56">
        <v>87</v>
      </c>
      <c r="J263" s="56">
        <f t="shared" si="1"/>
        <v>8333</v>
      </c>
    </row>
    <row r="264" spans="1:22" x14ac:dyDescent="0.25">
      <c r="A264" s="56" t="s">
        <v>132</v>
      </c>
      <c r="B264" s="56">
        <v>2005</v>
      </c>
      <c r="C264" s="56" t="s">
        <v>325</v>
      </c>
      <c r="D264" s="23" t="s">
        <v>323</v>
      </c>
      <c r="E264" s="57" t="s">
        <v>156</v>
      </c>
      <c r="F264" s="19" t="s">
        <v>237</v>
      </c>
      <c r="G264" s="56">
        <v>29</v>
      </c>
      <c r="H264" s="56">
        <v>669</v>
      </c>
      <c r="I264" s="56">
        <v>62</v>
      </c>
      <c r="J264" s="56">
        <f t="shared" si="1"/>
        <v>10942</v>
      </c>
    </row>
    <row r="265" spans="1:22" x14ac:dyDescent="0.25">
      <c r="A265" s="56" t="s">
        <v>130</v>
      </c>
      <c r="B265" s="56">
        <v>2006</v>
      </c>
      <c r="C265" s="56" t="s">
        <v>325</v>
      </c>
      <c r="D265" s="56" t="s">
        <v>324</v>
      </c>
      <c r="E265" s="23" t="s">
        <v>91</v>
      </c>
      <c r="F265" s="57" t="s">
        <v>237</v>
      </c>
      <c r="G265" s="56">
        <v>1171</v>
      </c>
      <c r="H265" s="56">
        <f>24392-G265</f>
        <v>23221</v>
      </c>
      <c r="I265" s="56">
        <f>7416-1171</f>
        <v>6245</v>
      </c>
      <c r="J265" s="56">
        <f>166318-(SUM(G265:I265))</f>
        <v>135681</v>
      </c>
      <c r="Q265" s="28"/>
      <c r="R265" s="28"/>
      <c r="S265" s="28"/>
    </row>
    <row r="266" spans="1:22" x14ac:dyDescent="0.25">
      <c r="A266" s="56" t="s">
        <v>130</v>
      </c>
      <c r="B266" s="56">
        <v>2006</v>
      </c>
      <c r="C266" s="56" t="s">
        <v>325</v>
      </c>
      <c r="D266" s="23" t="s">
        <v>323</v>
      </c>
      <c r="E266" s="23" t="s">
        <v>91</v>
      </c>
      <c r="F266" s="57" t="s">
        <v>237</v>
      </c>
      <c r="G266" s="56">
        <v>122</v>
      </c>
      <c r="H266" s="56">
        <f>24392-G266</f>
        <v>24270</v>
      </c>
      <c r="I266" s="56">
        <f>1115-122</f>
        <v>993</v>
      </c>
      <c r="J266" s="56">
        <f>166318-(SUM(G266:I266))</f>
        <v>140933</v>
      </c>
    </row>
    <row r="267" spans="1:22" x14ac:dyDescent="0.25">
      <c r="A267" s="19" t="s">
        <v>220</v>
      </c>
      <c r="B267" s="20">
        <v>2007</v>
      </c>
      <c r="C267" s="56" t="s">
        <v>325</v>
      </c>
      <c r="D267" s="56" t="s">
        <v>324</v>
      </c>
      <c r="E267" s="23" t="s">
        <v>91</v>
      </c>
      <c r="F267" s="19" t="s">
        <v>237</v>
      </c>
      <c r="G267" s="27">
        <v>29</v>
      </c>
      <c r="H267" s="27">
        <v>88</v>
      </c>
      <c r="I267" s="27">
        <v>58</v>
      </c>
      <c r="J267" s="27">
        <v>337</v>
      </c>
    </row>
    <row r="268" spans="1:22" x14ac:dyDescent="0.25">
      <c r="A268" s="19" t="s">
        <v>220</v>
      </c>
      <c r="B268" s="20">
        <v>2007</v>
      </c>
      <c r="C268" s="56" t="s">
        <v>325</v>
      </c>
      <c r="D268" s="23" t="s">
        <v>323</v>
      </c>
      <c r="E268" s="23" t="s">
        <v>91</v>
      </c>
      <c r="F268" s="19" t="s">
        <v>237</v>
      </c>
      <c r="G268" s="27">
        <v>3</v>
      </c>
      <c r="H268" s="27">
        <v>114</v>
      </c>
      <c r="I268" s="27">
        <v>8</v>
      </c>
      <c r="J268" s="27">
        <v>387</v>
      </c>
      <c r="N268" s="56"/>
      <c r="P268" s="23"/>
      <c r="Q268" s="57"/>
      <c r="R268" s="19"/>
    </row>
    <row r="269" spans="1:22" x14ac:dyDescent="0.25">
      <c r="A269" s="56" t="s">
        <v>131</v>
      </c>
      <c r="B269" s="56">
        <v>2008</v>
      </c>
      <c r="C269" s="56" t="s">
        <v>325</v>
      </c>
      <c r="D269" s="56" t="s">
        <v>324</v>
      </c>
      <c r="E269" s="57" t="s">
        <v>91</v>
      </c>
      <c r="F269" s="19" t="s">
        <v>237</v>
      </c>
      <c r="G269" s="56">
        <v>5</v>
      </c>
      <c r="H269" s="27">
        <v>60</v>
      </c>
      <c r="I269" s="27">
        <v>15</v>
      </c>
      <c r="J269" s="56">
        <f>350-(SUM(G269:I269))</f>
        <v>270</v>
      </c>
      <c r="Q269" s="28"/>
      <c r="R269" s="28"/>
      <c r="S269" s="28"/>
      <c r="V269" s="51"/>
    </row>
    <row r="270" spans="1:22" x14ac:dyDescent="0.25">
      <c r="A270" s="56" t="s">
        <v>131</v>
      </c>
      <c r="B270" s="56">
        <v>2008</v>
      </c>
      <c r="C270" s="56" t="s">
        <v>325</v>
      </c>
      <c r="D270" s="56" t="s">
        <v>324</v>
      </c>
      <c r="E270" s="57" t="s">
        <v>246</v>
      </c>
      <c r="F270" s="19" t="s">
        <v>237</v>
      </c>
      <c r="G270" s="56">
        <v>4</v>
      </c>
      <c r="H270" s="27">
        <v>13</v>
      </c>
      <c r="I270" s="27">
        <v>15</v>
      </c>
      <c r="J270" s="56">
        <v>270</v>
      </c>
      <c r="Q270" s="28"/>
      <c r="R270" s="28"/>
      <c r="S270" s="28"/>
    </row>
    <row r="271" spans="1:22" x14ac:dyDescent="0.25">
      <c r="A271" s="56" t="s">
        <v>131</v>
      </c>
      <c r="B271" s="56">
        <v>2008</v>
      </c>
      <c r="C271" s="56" t="s">
        <v>325</v>
      </c>
      <c r="D271" s="56" t="s">
        <v>324</v>
      </c>
      <c r="E271" s="57" t="s">
        <v>245</v>
      </c>
      <c r="F271" s="19" t="s">
        <v>237</v>
      </c>
      <c r="G271" s="56">
        <v>1</v>
      </c>
      <c r="H271" s="27">
        <v>47</v>
      </c>
      <c r="I271" s="27">
        <v>15</v>
      </c>
      <c r="J271" s="56">
        <v>270</v>
      </c>
      <c r="Q271" s="28"/>
      <c r="R271" s="28"/>
      <c r="S271" s="28"/>
    </row>
    <row r="272" spans="1:22" x14ac:dyDescent="0.25">
      <c r="A272" s="56" t="s">
        <v>131</v>
      </c>
      <c r="B272" s="56">
        <v>2008</v>
      </c>
      <c r="C272" s="56" t="s">
        <v>325</v>
      </c>
      <c r="D272" s="23" t="s">
        <v>323</v>
      </c>
      <c r="E272" s="57" t="s">
        <v>91</v>
      </c>
      <c r="F272" s="19" t="s">
        <v>237</v>
      </c>
      <c r="G272" s="56">
        <v>2</v>
      </c>
      <c r="H272" s="27">
        <v>63</v>
      </c>
      <c r="I272" s="27">
        <v>4</v>
      </c>
      <c r="J272" s="56">
        <f>350-(SUM(G272:I272))</f>
        <v>281</v>
      </c>
    </row>
    <row r="273" spans="1:21" x14ac:dyDescent="0.25">
      <c r="A273" s="56" t="s">
        <v>131</v>
      </c>
      <c r="B273" s="56">
        <v>2008</v>
      </c>
      <c r="C273" s="56" t="s">
        <v>325</v>
      </c>
      <c r="D273" s="23" t="s">
        <v>323</v>
      </c>
      <c r="E273" s="57" t="s">
        <v>246</v>
      </c>
      <c r="F273" s="19" t="s">
        <v>237</v>
      </c>
      <c r="G273" s="56">
        <v>1</v>
      </c>
      <c r="H273" s="27">
        <v>16</v>
      </c>
      <c r="I273" s="27">
        <v>4</v>
      </c>
      <c r="J273" s="56">
        <v>281</v>
      </c>
    </row>
    <row r="274" spans="1:21" x14ac:dyDescent="0.25">
      <c r="A274" s="56" t="s">
        <v>131</v>
      </c>
      <c r="B274" s="56">
        <v>2008</v>
      </c>
      <c r="C274" s="56" t="s">
        <v>325</v>
      </c>
      <c r="D274" s="23" t="s">
        <v>323</v>
      </c>
      <c r="E274" s="57" t="s">
        <v>245</v>
      </c>
      <c r="F274" s="19" t="s">
        <v>237</v>
      </c>
      <c r="G274" s="56">
        <v>0</v>
      </c>
      <c r="H274" s="27">
        <v>48</v>
      </c>
      <c r="I274" s="27">
        <v>4</v>
      </c>
      <c r="J274" s="56">
        <v>281</v>
      </c>
    </row>
    <row r="275" spans="1:21" x14ac:dyDescent="0.25">
      <c r="A275" s="56" t="s">
        <v>328</v>
      </c>
      <c r="B275" s="56">
        <v>1992</v>
      </c>
      <c r="C275" s="56" t="s">
        <v>325</v>
      </c>
      <c r="D275" s="56" t="s">
        <v>324</v>
      </c>
      <c r="E275" s="57" t="s">
        <v>91</v>
      </c>
      <c r="F275" s="19" t="s">
        <v>237</v>
      </c>
      <c r="G275" s="56">
        <v>24</v>
      </c>
      <c r="H275" s="56">
        <v>63</v>
      </c>
      <c r="I275" s="56">
        <v>141</v>
      </c>
      <c r="J275" s="56">
        <v>292</v>
      </c>
    </row>
    <row r="276" spans="1:21" x14ac:dyDescent="0.25">
      <c r="A276" s="56" t="s">
        <v>328</v>
      </c>
      <c r="B276" s="56">
        <v>1992</v>
      </c>
      <c r="C276" s="56" t="s">
        <v>325</v>
      </c>
      <c r="D276" s="23" t="s">
        <v>323</v>
      </c>
      <c r="E276" s="57" t="s">
        <v>91</v>
      </c>
      <c r="F276" s="19" t="s">
        <v>237</v>
      </c>
      <c r="G276" s="56">
        <v>5</v>
      </c>
      <c r="H276" s="56">
        <v>82</v>
      </c>
      <c r="I276" s="56">
        <v>47</v>
      </c>
      <c r="J276" s="56">
        <v>386</v>
      </c>
      <c r="N276" s="48"/>
    </row>
    <row r="277" spans="1:21" x14ac:dyDescent="0.25">
      <c r="A277" s="56" t="s">
        <v>225</v>
      </c>
      <c r="B277" s="56">
        <v>2016</v>
      </c>
      <c r="C277" s="56" t="s">
        <v>325</v>
      </c>
      <c r="D277" s="23" t="s">
        <v>324</v>
      </c>
      <c r="E277" s="57" t="s">
        <v>91</v>
      </c>
      <c r="F277" s="19" t="s">
        <v>237</v>
      </c>
      <c r="G277" s="56">
        <v>9</v>
      </c>
      <c r="H277" s="56">
        <v>688</v>
      </c>
      <c r="I277" s="56">
        <v>4</v>
      </c>
      <c r="J277" s="56">
        <v>1048</v>
      </c>
      <c r="N277" s="48"/>
    </row>
    <row r="278" spans="1:21" x14ac:dyDescent="0.25">
      <c r="A278" s="56" t="s">
        <v>225</v>
      </c>
      <c r="B278" s="56">
        <v>2016</v>
      </c>
      <c r="C278" s="56" t="s">
        <v>325</v>
      </c>
      <c r="D278" s="23" t="s">
        <v>323</v>
      </c>
      <c r="E278" s="57" t="s">
        <v>91</v>
      </c>
      <c r="F278" s="19" t="s">
        <v>237</v>
      </c>
      <c r="G278" s="56">
        <v>1</v>
      </c>
      <c r="H278" s="56">
        <v>696</v>
      </c>
      <c r="I278" s="56">
        <v>2</v>
      </c>
      <c r="J278" s="56">
        <v>1050</v>
      </c>
      <c r="N278" s="48"/>
    </row>
    <row r="279" spans="1:21" x14ac:dyDescent="0.25">
      <c r="B279" s="10"/>
      <c r="C279" s="43"/>
      <c r="D279" s="10"/>
      <c r="E279" s="43"/>
      <c r="F279" s="19"/>
      <c r="N279" s="48"/>
    </row>
    <row r="280" spans="1:21" x14ac:dyDescent="0.25">
      <c r="A280" s="56" t="s">
        <v>467</v>
      </c>
      <c r="B280" s="10"/>
      <c r="C280" s="43"/>
      <c r="D280" s="10"/>
      <c r="E280" s="43"/>
      <c r="F280" s="19"/>
      <c r="N280" s="48"/>
    </row>
    <row r="281" spans="1:21" x14ac:dyDescent="0.25">
      <c r="A281" s="56" t="s">
        <v>227</v>
      </c>
      <c r="B281" s="56">
        <v>2018</v>
      </c>
      <c r="C281" s="56" t="s">
        <v>325</v>
      </c>
      <c r="D281" s="56" t="s">
        <v>323</v>
      </c>
      <c r="E281" s="57" t="s">
        <v>365</v>
      </c>
      <c r="F281" s="57" t="s">
        <v>237</v>
      </c>
      <c r="G281" s="57" t="s">
        <v>372</v>
      </c>
      <c r="H281" s="56">
        <v>0</v>
      </c>
      <c r="I281" s="56">
        <v>119</v>
      </c>
      <c r="J281" s="56">
        <v>2</v>
      </c>
      <c r="N281" s="48"/>
    </row>
    <row r="282" spans="1:21" x14ac:dyDescent="0.25">
      <c r="A282" s="56" t="s">
        <v>227</v>
      </c>
      <c r="B282" s="56">
        <v>2018</v>
      </c>
      <c r="C282" s="56" t="s">
        <v>325</v>
      </c>
      <c r="D282" s="56" t="s">
        <v>323</v>
      </c>
      <c r="E282" s="57" t="s">
        <v>366</v>
      </c>
      <c r="F282" s="57" t="s">
        <v>237</v>
      </c>
      <c r="G282" s="57" t="s">
        <v>372</v>
      </c>
      <c r="H282" s="56">
        <v>2</v>
      </c>
      <c r="I282" s="56">
        <v>43</v>
      </c>
      <c r="J282" s="56">
        <v>2</v>
      </c>
      <c r="N282" s="19"/>
      <c r="O282" s="20"/>
    </row>
    <row r="283" spans="1:21" x14ac:dyDescent="0.25">
      <c r="A283" s="56" t="s">
        <v>227</v>
      </c>
      <c r="B283" s="56">
        <v>2018</v>
      </c>
      <c r="C283" s="56" t="s">
        <v>325</v>
      </c>
      <c r="D283" s="56" t="s">
        <v>323</v>
      </c>
      <c r="E283" s="57" t="s">
        <v>367</v>
      </c>
      <c r="F283" s="57" t="s">
        <v>237</v>
      </c>
      <c r="G283" s="57" t="s">
        <v>372</v>
      </c>
      <c r="H283" s="56">
        <v>2</v>
      </c>
      <c r="I283" s="56">
        <v>43</v>
      </c>
      <c r="J283" s="56">
        <v>2</v>
      </c>
      <c r="N283" s="19"/>
      <c r="O283" s="20"/>
    </row>
    <row r="284" spans="1:21" x14ac:dyDescent="0.25">
      <c r="A284" s="19" t="s">
        <v>210</v>
      </c>
      <c r="B284" s="20">
        <v>1995</v>
      </c>
      <c r="C284" s="56" t="s">
        <v>325</v>
      </c>
      <c r="D284" s="19" t="s">
        <v>323</v>
      </c>
      <c r="E284" s="57" t="s">
        <v>365</v>
      </c>
      <c r="F284" s="57" t="s">
        <v>237</v>
      </c>
      <c r="G284" s="57" t="s">
        <v>275</v>
      </c>
      <c r="H284" s="20">
        <v>7</v>
      </c>
      <c r="I284" s="20">
        <v>278</v>
      </c>
      <c r="J284" s="20">
        <v>12</v>
      </c>
      <c r="L284" s="20"/>
      <c r="M284" s="20"/>
      <c r="N284" s="19"/>
      <c r="O284" s="20"/>
    </row>
    <row r="285" spans="1:21" x14ac:dyDescent="0.25">
      <c r="A285" s="19" t="s">
        <v>210</v>
      </c>
      <c r="B285" s="20">
        <v>1995</v>
      </c>
      <c r="C285" s="56" t="s">
        <v>325</v>
      </c>
      <c r="D285" s="19" t="s">
        <v>323</v>
      </c>
      <c r="E285" s="57" t="s">
        <v>366</v>
      </c>
      <c r="F285" s="57" t="s">
        <v>237</v>
      </c>
      <c r="G285" s="57" t="s">
        <v>275</v>
      </c>
      <c r="H285" s="20">
        <v>12</v>
      </c>
      <c r="I285" s="20">
        <v>253</v>
      </c>
      <c r="J285" s="20">
        <v>12</v>
      </c>
      <c r="L285" s="20"/>
      <c r="M285" s="20"/>
      <c r="N285" s="19"/>
      <c r="O285" s="20"/>
      <c r="P285" s="19"/>
      <c r="Q285" s="57"/>
      <c r="R285" s="24"/>
      <c r="S285" s="24"/>
      <c r="T285" s="20"/>
      <c r="U285" s="20"/>
    </row>
    <row r="286" spans="1:21" x14ac:dyDescent="0.25">
      <c r="A286" s="19" t="s">
        <v>210</v>
      </c>
      <c r="B286" s="20">
        <v>1995</v>
      </c>
      <c r="C286" s="56" t="s">
        <v>325</v>
      </c>
      <c r="D286" s="19" t="s">
        <v>323</v>
      </c>
      <c r="E286" s="57" t="s">
        <v>367</v>
      </c>
      <c r="F286" s="57" t="s">
        <v>237</v>
      </c>
      <c r="G286" s="57" t="s">
        <v>275</v>
      </c>
      <c r="H286" s="20">
        <v>12</v>
      </c>
      <c r="I286" s="20">
        <v>253</v>
      </c>
      <c r="J286" s="20">
        <v>19</v>
      </c>
      <c r="K286" s="20"/>
      <c r="L286" s="20"/>
      <c r="M286" s="20"/>
      <c r="N286" s="19"/>
      <c r="O286" s="20"/>
      <c r="P286" s="19"/>
      <c r="Q286" s="57"/>
      <c r="R286" s="24"/>
      <c r="S286" s="24"/>
      <c r="T286" s="20"/>
      <c r="U286" s="20"/>
    </row>
    <row r="287" spans="1:21" x14ac:dyDescent="0.25">
      <c r="A287" s="19" t="s">
        <v>92</v>
      </c>
      <c r="B287" s="24">
        <v>2015</v>
      </c>
      <c r="C287" s="56" t="s">
        <v>325</v>
      </c>
      <c r="D287" s="19" t="s">
        <v>323</v>
      </c>
      <c r="E287" s="57" t="s">
        <v>365</v>
      </c>
      <c r="F287" s="57" t="s">
        <v>237</v>
      </c>
      <c r="G287" s="57" t="s">
        <v>275</v>
      </c>
      <c r="H287" s="24">
        <v>1</v>
      </c>
      <c r="I287" s="24">
        <v>1095</v>
      </c>
      <c r="J287" s="20">
        <v>2</v>
      </c>
      <c r="L287" s="24"/>
      <c r="M287" s="24"/>
      <c r="N287" s="56"/>
      <c r="Q287" s="23"/>
      <c r="R287" s="57"/>
      <c r="S287" s="19"/>
    </row>
    <row r="288" spans="1:21" x14ac:dyDescent="0.25">
      <c r="A288" s="19" t="s">
        <v>92</v>
      </c>
      <c r="B288" s="24">
        <v>2015</v>
      </c>
      <c r="C288" s="56" t="s">
        <v>325</v>
      </c>
      <c r="D288" s="19" t="s">
        <v>323</v>
      </c>
      <c r="E288" s="57" t="s">
        <v>366</v>
      </c>
      <c r="F288" s="57" t="s">
        <v>237</v>
      </c>
      <c r="G288" s="57" t="s">
        <v>275</v>
      </c>
      <c r="H288" s="24">
        <v>0</v>
      </c>
      <c r="I288" s="24">
        <v>166</v>
      </c>
      <c r="J288" s="20">
        <v>2</v>
      </c>
      <c r="L288" s="24"/>
      <c r="M288" s="24"/>
    </row>
    <row r="289" spans="1:14" x14ac:dyDescent="0.25">
      <c r="A289" s="19" t="s">
        <v>92</v>
      </c>
      <c r="B289" s="24">
        <v>2015</v>
      </c>
      <c r="C289" s="56" t="s">
        <v>325</v>
      </c>
      <c r="D289" s="19" t="s">
        <v>323</v>
      </c>
      <c r="E289" s="57" t="s">
        <v>367</v>
      </c>
      <c r="F289" s="57" t="s">
        <v>237</v>
      </c>
      <c r="G289" s="57" t="s">
        <v>275</v>
      </c>
      <c r="H289" s="24">
        <v>0</v>
      </c>
      <c r="I289" s="24">
        <v>166</v>
      </c>
      <c r="J289" s="20">
        <v>3</v>
      </c>
      <c r="L289" s="24"/>
      <c r="M289" s="24"/>
    </row>
    <row r="290" spans="1:14" x14ac:dyDescent="0.25">
      <c r="A290" s="19" t="s">
        <v>212</v>
      </c>
      <c r="B290" s="24">
        <v>1995</v>
      </c>
      <c r="C290" s="56" t="s">
        <v>325</v>
      </c>
      <c r="D290" s="23" t="s">
        <v>323</v>
      </c>
      <c r="E290" s="57" t="s">
        <v>365</v>
      </c>
      <c r="F290" s="57" t="s">
        <v>237</v>
      </c>
      <c r="G290" s="57" t="s">
        <v>372</v>
      </c>
      <c r="H290" s="20">
        <v>42</v>
      </c>
      <c r="I290" s="20">
        <v>2149</v>
      </c>
      <c r="J290" s="20">
        <v>101</v>
      </c>
      <c r="N290" s="48"/>
    </row>
    <row r="291" spans="1:14" x14ac:dyDescent="0.25">
      <c r="A291" s="19" t="s">
        <v>212</v>
      </c>
      <c r="B291" s="24">
        <v>1995</v>
      </c>
      <c r="C291" s="56" t="s">
        <v>325</v>
      </c>
      <c r="D291" s="23" t="s">
        <v>323</v>
      </c>
      <c r="E291" s="57" t="s">
        <v>366</v>
      </c>
      <c r="F291" s="57" t="s">
        <v>237</v>
      </c>
      <c r="G291" s="57" t="s">
        <v>372</v>
      </c>
      <c r="H291" s="20">
        <v>5</v>
      </c>
      <c r="I291" s="20">
        <v>321</v>
      </c>
      <c r="J291" s="20">
        <v>101</v>
      </c>
      <c r="N291" s="48"/>
    </row>
    <row r="292" spans="1:14" x14ac:dyDescent="0.25">
      <c r="A292" s="19" t="s">
        <v>212</v>
      </c>
      <c r="B292" s="24">
        <v>1995</v>
      </c>
      <c r="C292" s="56" t="s">
        <v>325</v>
      </c>
      <c r="D292" s="23" t="s">
        <v>323</v>
      </c>
      <c r="E292" s="57" t="s">
        <v>367</v>
      </c>
      <c r="F292" s="57" t="s">
        <v>237</v>
      </c>
      <c r="G292" s="57" t="s">
        <v>372</v>
      </c>
      <c r="H292" s="20">
        <v>5</v>
      </c>
      <c r="I292" s="20">
        <v>321</v>
      </c>
      <c r="J292" s="20">
        <v>143</v>
      </c>
      <c r="K292" s="20"/>
      <c r="N292" s="48"/>
    </row>
    <row r="293" spans="1:14" x14ac:dyDescent="0.25">
      <c r="A293" s="19" t="s">
        <v>213</v>
      </c>
      <c r="B293" s="20">
        <v>1993</v>
      </c>
      <c r="C293" s="56" t="s">
        <v>325</v>
      </c>
      <c r="D293" s="23" t="s">
        <v>323</v>
      </c>
      <c r="E293" s="57" t="s">
        <v>367</v>
      </c>
      <c r="F293" s="57" t="s">
        <v>237</v>
      </c>
      <c r="G293" s="57" t="s">
        <v>372</v>
      </c>
      <c r="H293" s="20">
        <v>4</v>
      </c>
      <c r="I293" s="20">
        <v>1012</v>
      </c>
      <c r="J293" s="20">
        <v>20</v>
      </c>
      <c r="K293" s="20"/>
      <c r="N293" s="48"/>
    </row>
    <row r="294" spans="1:14" x14ac:dyDescent="0.25">
      <c r="A294" s="23" t="s">
        <v>127</v>
      </c>
      <c r="B294" s="24">
        <v>2005</v>
      </c>
      <c r="C294" s="56" t="s">
        <v>325</v>
      </c>
      <c r="D294" s="19" t="s">
        <v>323</v>
      </c>
      <c r="E294" s="57" t="s">
        <v>365</v>
      </c>
      <c r="F294" s="57" t="s">
        <v>237</v>
      </c>
      <c r="G294" s="57" t="s">
        <v>372</v>
      </c>
      <c r="H294" s="20">
        <v>9</v>
      </c>
      <c r="I294" s="20">
        <v>682</v>
      </c>
      <c r="J294" s="20">
        <v>33</v>
      </c>
      <c r="N294" s="48"/>
    </row>
    <row r="295" spans="1:14" x14ac:dyDescent="0.25">
      <c r="A295" s="23" t="s">
        <v>127</v>
      </c>
      <c r="B295" s="24">
        <v>2005</v>
      </c>
      <c r="C295" s="56" t="s">
        <v>325</v>
      </c>
      <c r="D295" s="19" t="s">
        <v>323</v>
      </c>
      <c r="E295" s="57" t="s">
        <v>366</v>
      </c>
      <c r="F295" s="57" t="s">
        <v>237</v>
      </c>
      <c r="G295" s="57" t="s">
        <v>372</v>
      </c>
      <c r="H295" s="20">
        <v>0</v>
      </c>
      <c r="I295" s="20">
        <v>84</v>
      </c>
      <c r="J295" s="20">
        <v>33</v>
      </c>
      <c r="N295" s="48"/>
    </row>
    <row r="296" spans="1:14" x14ac:dyDescent="0.25">
      <c r="A296" s="23" t="s">
        <v>127</v>
      </c>
      <c r="B296" s="24">
        <v>2005</v>
      </c>
      <c r="C296" s="56" t="s">
        <v>325</v>
      </c>
      <c r="D296" s="19" t="s">
        <v>323</v>
      </c>
      <c r="E296" s="57" t="s">
        <v>367</v>
      </c>
      <c r="F296" s="57" t="s">
        <v>237</v>
      </c>
      <c r="G296" s="57" t="s">
        <v>372</v>
      </c>
      <c r="H296" s="20">
        <v>0</v>
      </c>
      <c r="I296" s="20">
        <v>84</v>
      </c>
      <c r="J296" s="20">
        <v>41</v>
      </c>
      <c r="K296" s="20"/>
      <c r="N296" s="48"/>
    </row>
    <row r="297" spans="1:14" x14ac:dyDescent="0.25">
      <c r="A297" s="56" t="s">
        <v>132</v>
      </c>
      <c r="B297" s="56">
        <v>2005</v>
      </c>
      <c r="C297" s="56" t="s">
        <v>325</v>
      </c>
      <c r="D297" s="23" t="s">
        <v>323</v>
      </c>
      <c r="E297" s="57" t="s">
        <v>365</v>
      </c>
      <c r="F297" s="19" t="s">
        <v>237</v>
      </c>
      <c r="G297" s="57" t="s">
        <v>275</v>
      </c>
      <c r="H297" s="56">
        <v>4</v>
      </c>
      <c r="I297" s="56">
        <f>3947-669</f>
        <v>3278</v>
      </c>
      <c r="J297" s="56">
        <v>58</v>
      </c>
      <c r="N297" s="48"/>
    </row>
    <row r="298" spans="1:14" x14ac:dyDescent="0.25">
      <c r="A298" s="56" t="s">
        <v>132</v>
      </c>
      <c r="B298" s="56">
        <v>2005</v>
      </c>
      <c r="C298" s="56" t="s">
        <v>325</v>
      </c>
      <c r="D298" s="23" t="s">
        <v>323</v>
      </c>
      <c r="E298" s="57" t="s">
        <v>366</v>
      </c>
      <c r="F298" s="19" t="s">
        <v>237</v>
      </c>
      <c r="G298" s="57" t="s">
        <v>275</v>
      </c>
      <c r="H298" s="56">
        <v>29</v>
      </c>
      <c r="I298" s="56">
        <v>669</v>
      </c>
      <c r="J298" s="56">
        <v>58</v>
      </c>
      <c r="N298" s="48"/>
    </row>
    <row r="299" spans="1:14" x14ac:dyDescent="0.25">
      <c r="A299" s="56" t="s">
        <v>132</v>
      </c>
      <c r="B299" s="56">
        <v>2005</v>
      </c>
      <c r="C299" s="56" t="s">
        <v>325</v>
      </c>
      <c r="D299" s="23" t="s">
        <v>323</v>
      </c>
      <c r="E299" s="57" t="s">
        <v>367</v>
      </c>
      <c r="F299" s="19" t="s">
        <v>237</v>
      </c>
      <c r="G299" s="57" t="s">
        <v>275</v>
      </c>
      <c r="H299" s="20">
        <v>29</v>
      </c>
      <c r="I299" s="20">
        <v>669</v>
      </c>
      <c r="J299" s="20">
        <f>58+4</f>
        <v>62</v>
      </c>
      <c r="K299" s="20"/>
      <c r="N299" s="48"/>
    </row>
    <row r="300" spans="1:14" x14ac:dyDescent="0.25">
      <c r="B300" s="10"/>
      <c r="C300" s="43"/>
      <c r="D300" s="10"/>
      <c r="E300" s="43"/>
      <c r="F300" s="19"/>
      <c r="N300" s="48"/>
    </row>
    <row r="301" spans="1:14" x14ac:dyDescent="0.25">
      <c r="A301" s="56" t="s">
        <v>227</v>
      </c>
      <c r="B301" s="56">
        <v>2018</v>
      </c>
      <c r="C301" s="56" t="s">
        <v>325</v>
      </c>
      <c r="D301" s="56" t="s">
        <v>324</v>
      </c>
      <c r="E301" s="57" t="s">
        <v>365</v>
      </c>
      <c r="F301" s="57" t="s">
        <v>237</v>
      </c>
      <c r="G301" s="57" t="s">
        <v>372</v>
      </c>
      <c r="H301" s="56">
        <v>0</v>
      </c>
      <c r="I301" s="56">
        <v>119</v>
      </c>
      <c r="J301" s="56">
        <v>17</v>
      </c>
      <c r="N301" s="48"/>
    </row>
    <row r="302" spans="1:14" x14ac:dyDescent="0.25">
      <c r="A302" s="56" t="s">
        <v>227</v>
      </c>
      <c r="B302" s="56">
        <v>2018</v>
      </c>
      <c r="C302" s="56" t="s">
        <v>325</v>
      </c>
      <c r="D302" s="56" t="s">
        <v>324</v>
      </c>
      <c r="E302" s="57" t="s">
        <v>366</v>
      </c>
      <c r="F302" s="57" t="s">
        <v>237</v>
      </c>
      <c r="G302" s="57" t="s">
        <v>372</v>
      </c>
      <c r="H302" s="56">
        <v>10</v>
      </c>
      <c r="I302" s="56">
        <v>35</v>
      </c>
      <c r="J302" s="56">
        <v>17</v>
      </c>
      <c r="N302" s="48"/>
    </row>
    <row r="303" spans="1:14" x14ac:dyDescent="0.25">
      <c r="A303" s="56" t="s">
        <v>227</v>
      </c>
      <c r="B303" s="56">
        <v>2018</v>
      </c>
      <c r="C303" s="56" t="s">
        <v>325</v>
      </c>
      <c r="D303" s="56" t="s">
        <v>324</v>
      </c>
      <c r="E303" s="57" t="s">
        <v>367</v>
      </c>
      <c r="F303" s="57" t="s">
        <v>237</v>
      </c>
      <c r="G303" s="57" t="s">
        <v>372</v>
      </c>
      <c r="H303" s="56">
        <v>10</v>
      </c>
      <c r="I303" s="56">
        <v>35</v>
      </c>
      <c r="J303" s="56">
        <v>17</v>
      </c>
      <c r="N303" s="48"/>
    </row>
    <row r="304" spans="1:14" x14ac:dyDescent="0.25">
      <c r="A304" s="19" t="s">
        <v>210</v>
      </c>
      <c r="B304" s="20">
        <v>1995</v>
      </c>
      <c r="C304" s="56" t="s">
        <v>325</v>
      </c>
      <c r="D304" s="19" t="s">
        <v>324</v>
      </c>
      <c r="E304" s="57" t="s">
        <v>365</v>
      </c>
      <c r="F304" s="57" t="s">
        <v>237</v>
      </c>
      <c r="G304" s="57" t="s">
        <v>275</v>
      </c>
      <c r="H304" s="20">
        <v>32</v>
      </c>
      <c r="I304" s="20">
        <v>253</v>
      </c>
      <c r="J304" s="20">
        <v>49</v>
      </c>
      <c r="N304" s="48"/>
    </row>
    <row r="305" spans="1:16" x14ac:dyDescent="0.25">
      <c r="A305" s="19" t="s">
        <v>210</v>
      </c>
      <c r="B305" s="20">
        <v>1995</v>
      </c>
      <c r="C305" s="56" t="s">
        <v>325</v>
      </c>
      <c r="D305" s="19" t="s">
        <v>324</v>
      </c>
      <c r="E305" s="57" t="s">
        <v>366</v>
      </c>
      <c r="F305" s="57" t="s">
        <v>237</v>
      </c>
      <c r="G305" s="57" t="s">
        <v>275</v>
      </c>
      <c r="H305" s="20">
        <v>50</v>
      </c>
      <c r="I305" s="20">
        <v>215</v>
      </c>
      <c r="J305" s="20">
        <v>49</v>
      </c>
      <c r="N305" s="48"/>
    </row>
    <row r="306" spans="1:16" x14ac:dyDescent="0.25">
      <c r="A306" s="19" t="s">
        <v>210</v>
      </c>
      <c r="B306" s="20">
        <v>1995</v>
      </c>
      <c r="C306" s="56" t="s">
        <v>325</v>
      </c>
      <c r="D306" s="19" t="s">
        <v>324</v>
      </c>
      <c r="E306" s="57" t="s">
        <v>367</v>
      </c>
      <c r="F306" s="57" t="s">
        <v>237</v>
      </c>
      <c r="G306" s="57" t="s">
        <v>275</v>
      </c>
      <c r="H306" s="20">
        <v>50</v>
      </c>
      <c r="I306" s="20">
        <v>215</v>
      </c>
      <c r="J306" s="20">
        <v>81</v>
      </c>
      <c r="K306" s="20"/>
      <c r="N306" s="48"/>
    </row>
    <row r="307" spans="1:16" x14ac:dyDescent="0.25">
      <c r="A307" s="19" t="s">
        <v>92</v>
      </c>
      <c r="B307" s="24">
        <v>2015</v>
      </c>
      <c r="C307" s="56" t="s">
        <v>325</v>
      </c>
      <c r="D307" s="19" t="s">
        <v>324</v>
      </c>
      <c r="E307" s="57" t="s">
        <v>365</v>
      </c>
      <c r="F307" s="57" t="s">
        <v>237</v>
      </c>
      <c r="G307" s="57" t="s">
        <v>275</v>
      </c>
      <c r="H307" s="24">
        <v>13</v>
      </c>
      <c r="I307" s="24">
        <v>1083</v>
      </c>
      <c r="J307" s="20">
        <v>28</v>
      </c>
      <c r="M307" s="24"/>
      <c r="N307" s="23"/>
      <c r="O307" s="20"/>
      <c r="P307" s="20"/>
    </row>
    <row r="308" spans="1:16" x14ac:dyDescent="0.25">
      <c r="A308" s="19" t="s">
        <v>92</v>
      </c>
      <c r="B308" s="24">
        <v>2015</v>
      </c>
      <c r="C308" s="56" t="s">
        <v>325</v>
      </c>
      <c r="D308" s="19" t="s">
        <v>324</v>
      </c>
      <c r="E308" s="57" t="s">
        <v>366</v>
      </c>
      <c r="F308" s="57" t="s">
        <v>237</v>
      </c>
      <c r="G308" s="57" t="s">
        <v>275</v>
      </c>
      <c r="H308" s="24">
        <v>3</v>
      </c>
      <c r="I308" s="24">
        <v>163</v>
      </c>
      <c r="J308" s="20">
        <v>28</v>
      </c>
      <c r="M308" s="24"/>
      <c r="N308" s="23"/>
      <c r="O308" s="20"/>
      <c r="P308" s="20"/>
    </row>
    <row r="309" spans="1:16" x14ac:dyDescent="0.25">
      <c r="A309" s="19" t="s">
        <v>92</v>
      </c>
      <c r="B309" s="24">
        <v>2015</v>
      </c>
      <c r="C309" s="56" t="s">
        <v>325</v>
      </c>
      <c r="D309" s="19" t="s">
        <v>324</v>
      </c>
      <c r="E309" s="57" t="s">
        <v>367</v>
      </c>
      <c r="F309" s="57" t="s">
        <v>237</v>
      </c>
      <c r="G309" s="57" t="s">
        <v>275</v>
      </c>
      <c r="H309" s="24">
        <v>3</v>
      </c>
      <c r="I309" s="24">
        <v>163</v>
      </c>
      <c r="J309" s="20">
        <v>41</v>
      </c>
      <c r="M309" s="24"/>
      <c r="N309" s="23"/>
      <c r="O309" s="20"/>
      <c r="P309" s="20"/>
    </row>
    <row r="310" spans="1:16" x14ac:dyDescent="0.25">
      <c r="A310" s="56" t="s">
        <v>236</v>
      </c>
      <c r="B310" s="56">
        <v>2008</v>
      </c>
      <c r="C310" s="56" t="s">
        <v>325</v>
      </c>
      <c r="D310" s="56" t="s">
        <v>324</v>
      </c>
      <c r="E310" s="57" t="s">
        <v>366</v>
      </c>
      <c r="F310" s="57" t="s">
        <v>237</v>
      </c>
      <c r="G310" s="57" t="s">
        <v>372</v>
      </c>
      <c r="H310" s="24">
        <v>9</v>
      </c>
      <c r="I310" s="24">
        <v>23</v>
      </c>
      <c r="J310" s="20">
        <v>15</v>
      </c>
      <c r="N310" s="48"/>
    </row>
    <row r="311" spans="1:16" x14ac:dyDescent="0.25">
      <c r="A311" s="59" t="s">
        <v>132</v>
      </c>
      <c r="B311" s="59">
        <v>2005</v>
      </c>
      <c r="C311" s="59" t="s">
        <v>325</v>
      </c>
      <c r="D311" s="59" t="s">
        <v>324</v>
      </c>
      <c r="E311" s="57" t="s">
        <v>365</v>
      </c>
      <c r="F311" s="23" t="s">
        <v>237</v>
      </c>
      <c r="G311" s="59" t="s">
        <v>275</v>
      </c>
      <c r="H311" s="59">
        <f>413-77</f>
        <v>336</v>
      </c>
      <c r="I311" s="59">
        <v>2972</v>
      </c>
      <c r="J311" s="59">
        <f>479-77</f>
        <v>402</v>
      </c>
      <c r="N311" s="48"/>
    </row>
    <row r="312" spans="1:16" x14ac:dyDescent="0.25">
      <c r="A312" s="59" t="s">
        <v>132</v>
      </c>
      <c r="B312" s="59">
        <v>2005</v>
      </c>
      <c r="C312" s="59" t="s">
        <v>325</v>
      </c>
      <c r="D312" s="59" t="s">
        <v>324</v>
      </c>
      <c r="E312" s="57" t="s">
        <v>366</v>
      </c>
      <c r="F312" s="23" t="s">
        <v>237</v>
      </c>
      <c r="G312" s="59" t="s">
        <v>275</v>
      </c>
      <c r="H312" s="59">
        <v>77</v>
      </c>
      <c r="I312" s="59">
        <f>672-77</f>
        <v>595</v>
      </c>
      <c r="J312" s="59">
        <v>402</v>
      </c>
      <c r="N312" s="48"/>
    </row>
    <row r="313" spans="1:16" x14ac:dyDescent="0.25">
      <c r="A313" s="59" t="s">
        <v>132</v>
      </c>
      <c r="B313" s="59">
        <v>2005</v>
      </c>
      <c r="C313" s="59" t="s">
        <v>325</v>
      </c>
      <c r="D313" s="59" t="s">
        <v>324</v>
      </c>
      <c r="E313" s="57" t="s">
        <v>367</v>
      </c>
      <c r="F313" s="23" t="s">
        <v>237</v>
      </c>
      <c r="G313" s="59" t="s">
        <v>275</v>
      </c>
      <c r="H313" s="24">
        <v>77</v>
      </c>
      <c r="I313" s="56">
        <v>595</v>
      </c>
      <c r="J313" s="56">
        <v>738</v>
      </c>
      <c r="N313" s="48"/>
    </row>
    <row r="314" spans="1:16" x14ac:dyDescent="0.25">
      <c r="B314" s="10"/>
      <c r="C314" s="43"/>
      <c r="D314" s="10"/>
      <c r="E314" s="43"/>
      <c r="F314" s="19"/>
      <c r="N314" s="48"/>
    </row>
    <row r="315" spans="1:16" x14ac:dyDescent="0.25">
      <c r="A315" s="59" t="s">
        <v>466</v>
      </c>
      <c r="B315" s="10"/>
      <c r="C315" s="43"/>
      <c r="D315" s="10"/>
      <c r="E315" s="43"/>
      <c r="F315" s="19"/>
      <c r="N315" s="48"/>
    </row>
    <row r="316" spans="1:16" x14ac:dyDescent="0.25">
      <c r="A316" s="23" t="s">
        <v>64</v>
      </c>
      <c r="B316" s="24">
        <v>2003</v>
      </c>
      <c r="C316" s="23" t="s">
        <v>244</v>
      </c>
      <c r="D316" s="23" t="s">
        <v>239</v>
      </c>
      <c r="E316" s="23" t="s">
        <v>91</v>
      </c>
      <c r="F316" s="59" t="s">
        <v>237</v>
      </c>
      <c r="G316" s="24">
        <v>4</v>
      </c>
      <c r="H316" s="59">
        <v>43</v>
      </c>
      <c r="I316" s="59">
        <v>2</v>
      </c>
      <c r="J316" s="59">
        <f>167-49</f>
        <v>118</v>
      </c>
    </row>
    <row r="317" spans="1:16" x14ac:dyDescent="0.25">
      <c r="A317" s="23" t="s">
        <v>75</v>
      </c>
      <c r="B317" s="24">
        <v>2013</v>
      </c>
      <c r="C317" s="23" t="s">
        <v>288</v>
      </c>
      <c r="D317" s="23" t="s">
        <v>239</v>
      </c>
      <c r="E317" s="23" t="s">
        <v>91</v>
      </c>
      <c r="F317" s="59" t="s">
        <v>237</v>
      </c>
      <c r="G317" s="24">
        <v>254</v>
      </c>
      <c r="H317" s="24">
        <v>61591</v>
      </c>
      <c r="I317" s="24">
        <v>1751</v>
      </c>
      <c r="J317" s="24">
        <v>155741</v>
      </c>
    </row>
    <row r="318" spans="1:16" x14ac:dyDescent="0.25">
      <c r="A318" s="23" t="s">
        <v>213</v>
      </c>
      <c r="B318" s="24">
        <v>1993</v>
      </c>
      <c r="C318" s="23" t="s">
        <v>244</v>
      </c>
      <c r="D318" s="23" t="s">
        <v>239</v>
      </c>
      <c r="E318" s="23" t="s">
        <v>295</v>
      </c>
      <c r="F318" s="23" t="s">
        <v>237</v>
      </c>
      <c r="G318" s="24">
        <v>69</v>
      </c>
      <c r="H318" s="24">
        <v>947</v>
      </c>
      <c r="I318" s="24">
        <v>311</v>
      </c>
      <c r="J318" s="24">
        <v>2540</v>
      </c>
    </row>
    <row r="319" spans="1:16" x14ac:dyDescent="0.25">
      <c r="A319" s="59" t="s">
        <v>134</v>
      </c>
      <c r="B319" s="59">
        <v>1992</v>
      </c>
      <c r="C319" s="59" t="s">
        <v>160</v>
      </c>
      <c r="D319" s="59" t="s">
        <v>239</v>
      </c>
      <c r="E319" s="59" t="s">
        <v>91</v>
      </c>
      <c r="F319" s="59" t="s">
        <v>237</v>
      </c>
      <c r="G319" s="24">
        <v>6</v>
      </c>
      <c r="H319" s="24">
        <v>161</v>
      </c>
      <c r="I319" s="24">
        <v>19</v>
      </c>
      <c r="J319" s="59">
        <f>706-(SUM(G319:I319))</f>
        <v>520</v>
      </c>
    </row>
    <row r="320" spans="1:16" x14ac:dyDescent="0.25">
      <c r="A320" s="23" t="s">
        <v>218</v>
      </c>
      <c r="B320" s="24">
        <v>1968</v>
      </c>
      <c r="C320" s="23" t="s">
        <v>268</v>
      </c>
      <c r="D320" s="59" t="s">
        <v>239</v>
      </c>
      <c r="E320" s="59" t="s">
        <v>91</v>
      </c>
      <c r="F320" s="23" t="s">
        <v>237</v>
      </c>
      <c r="G320" s="24">
        <v>19</v>
      </c>
      <c r="H320" s="24">
        <v>412</v>
      </c>
      <c r="I320" s="24">
        <v>92</v>
      </c>
      <c r="J320" s="24">
        <v>1457</v>
      </c>
      <c r="M320" s="19"/>
      <c r="N320" s="19"/>
    </row>
    <row r="321" spans="1:19" x14ac:dyDescent="0.25">
      <c r="A321" s="23"/>
      <c r="B321" s="24"/>
      <c r="C321" s="23"/>
      <c r="D321" s="59"/>
      <c r="E321" s="59"/>
      <c r="F321" s="23"/>
      <c r="G321" s="24"/>
      <c r="H321" s="24"/>
      <c r="I321" s="24"/>
      <c r="J321" s="24"/>
      <c r="M321" s="19"/>
      <c r="N321" s="19"/>
    </row>
    <row r="322" spans="1:19" x14ac:dyDescent="0.25">
      <c r="A322" s="23" t="s">
        <v>465</v>
      </c>
      <c r="M322" s="19"/>
      <c r="N322" s="48"/>
    </row>
    <row r="323" spans="1:19" s="59" customFormat="1" x14ac:dyDescent="0.25">
      <c r="A323" s="23" t="s">
        <v>58</v>
      </c>
      <c r="B323" s="24">
        <v>2003</v>
      </c>
      <c r="C323" s="23" t="s">
        <v>388</v>
      </c>
      <c r="D323" s="23" t="s">
        <v>239</v>
      </c>
      <c r="E323" s="23" t="s">
        <v>91</v>
      </c>
      <c r="F323" s="59" t="s">
        <v>237</v>
      </c>
      <c r="G323" s="24">
        <v>47</v>
      </c>
      <c r="H323" s="24">
        <v>3707</v>
      </c>
      <c r="I323" s="24">
        <v>198</v>
      </c>
      <c r="J323" s="59">
        <v>9304</v>
      </c>
      <c r="K323" s="24"/>
      <c r="L323" s="24"/>
      <c r="N323" s="23"/>
    </row>
    <row r="324" spans="1:19" s="59" customFormat="1" x14ac:dyDescent="0.25">
      <c r="A324" s="59" t="s">
        <v>206</v>
      </c>
      <c r="B324" s="59">
        <v>1995</v>
      </c>
      <c r="C324" s="59" t="s">
        <v>389</v>
      </c>
      <c r="D324" s="59" t="s">
        <v>239</v>
      </c>
      <c r="E324" s="59" t="s">
        <v>91</v>
      </c>
      <c r="F324" s="59" t="s">
        <v>237</v>
      </c>
      <c r="G324" s="59">
        <v>31</v>
      </c>
      <c r="H324" s="59">
        <v>147</v>
      </c>
      <c r="I324" s="59">
        <v>36</v>
      </c>
      <c r="J324" s="59">
        <v>320</v>
      </c>
      <c r="N324" s="23"/>
    </row>
    <row r="325" spans="1:19" s="59" customFormat="1" x14ac:dyDescent="0.25">
      <c r="A325" s="23" t="s">
        <v>63</v>
      </c>
      <c r="B325" s="24">
        <v>2008</v>
      </c>
      <c r="C325" s="23" t="s">
        <v>390</v>
      </c>
      <c r="D325" s="59" t="s">
        <v>239</v>
      </c>
      <c r="E325" s="59" t="s">
        <v>91</v>
      </c>
      <c r="F325" s="23" t="s">
        <v>257</v>
      </c>
      <c r="G325" s="59">
        <v>2</v>
      </c>
      <c r="H325" s="59">
        <v>67</v>
      </c>
      <c r="I325" s="59">
        <v>1</v>
      </c>
      <c r="J325" s="59">
        <f>202-(SUM(G325:I325))</f>
        <v>132</v>
      </c>
      <c r="K325" s="23"/>
      <c r="L325" s="23"/>
      <c r="N325" s="50"/>
    </row>
    <row r="326" spans="1:19" s="59" customFormat="1" x14ac:dyDescent="0.25">
      <c r="A326" s="59" t="s">
        <v>134</v>
      </c>
      <c r="B326" s="59">
        <v>1992</v>
      </c>
      <c r="C326" s="59" t="s">
        <v>391</v>
      </c>
      <c r="D326" s="59" t="s">
        <v>239</v>
      </c>
      <c r="E326" s="59" t="s">
        <v>91</v>
      </c>
      <c r="F326" s="59" t="s">
        <v>237</v>
      </c>
      <c r="G326" s="24">
        <v>5</v>
      </c>
      <c r="H326" s="24">
        <v>162</v>
      </c>
      <c r="I326" s="24">
        <v>10</v>
      </c>
      <c r="J326" s="59">
        <f>706-(SUM(G326:I326))</f>
        <v>529</v>
      </c>
      <c r="N326" s="50"/>
    </row>
    <row r="327" spans="1:19" s="59" customFormat="1" x14ac:dyDescent="0.25">
      <c r="A327" s="23" t="s">
        <v>236</v>
      </c>
      <c r="B327" s="24">
        <v>2008</v>
      </c>
      <c r="C327" s="23" t="s">
        <v>391</v>
      </c>
      <c r="D327" s="59" t="s">
        <v>239</v>
      </c>
      <c r="E327" s="23" t="s">
        <v>286</v>
      </c>
      <c r="F327" s="23" t="s">
        <v>237</v>
      </c>
      <c r="G327" s="24">
        <v>24</v>
      </c>
      <c r="H327" s="24">
        <v>136</v>
      </c>
      <c r="I327" s="24">
        <v>20</v>
      </c>
      <c r="J327" s="24">
        <v>140</v>
      </c>
      <c r="N327" s="23"/>
    </row>
    <row r="328" spans="1:19" s="59" customFormat="1" x14ac:dyDescent="0.25">
      <c r="A328" s="59" t="s">
        <v>128</v>
      </c>
      <c r="B328" s="59">
        <v>2009</v>
      </c>
      <c r="C328" s="59" t="s">
        <v>392</v>
      </c>
      <c r="D328" s="59" t="s">
        <v>239</v>
      </c>
      <c r="E328" s="59" t="s">
        <v>91</v>
      </c>
      <c r="F328" s="23" t="s">
        <v>237</v>
      </c>
      <c r="G328" s="59">
        <v>13</v>
      </c>
      <c r="H328" s="59">
        <v>46</v>
      </c>
      <c r="I328" s="59">
        <v>42</v>
      </c>
      <c r="J328" s="59">
        <f>532-(SUM(G328:I328))</f>
        <v>431</v>
      </c>
      <c r="N328" s="23"/>
    </row>
    <row r="329" spans="1:19" s="59" customFormat="1" x14ac:dyDescent="0.25">
      <c r="A329" s="59" t="s">
        <v>224</v>
      </c>
      <c r="B329" s="59">
        <v>1992</v>
      </c>
      <c r="C329" s="59" t="s">
        <v>388</v>
      </c>
      <c r="D329" s="59" t="s">
        <v>239</v>
      </c>
      <c r="E329" s="59" t="s">
        <v>91</v>
      </c>
      <c r="F329" s="23" t="s">
        <v>237</v>
      </c>
      <c r="G329" s="59">
        <v>4</v>
      </c>
      <c r="H329" s="59">
        <v>83</v>
      </c>
      <c r="I329" s="59">
        <v>28</v>
      </c>
      <c r="J329" s="59">
        <v>405</v>
      </c>
      <c r="N329" s="23"/>
    </row>
    <row r="330" spans="1:19" s="59" customFormat="1" x14ac:dyDescent="0.25">
      <c r="A330" s="59" t="s">
        <v>225</v>
      </c>
      <c r="B330" s="59">
        <v>2016</v>
      </c>
      <c r="C330" s="59" t="s">
        <v>393</v>
      </c>
      <c r="D330" s="59" t="s">
        <v>239</v>
      </c>
      <c r="E330" s="59" t="s">
        <v>91</v>
      </c>
      <c r="F330" s="23" t="s">
        <v>237</v>
      </c>
      <c r="G330" s="59">
        <v>72</v>
      </c>
      <c r="H330" s="59">
        <v>595</v>
      </c>
      <c r="I330" s="59">
        <v>63</v>
      </c>
      <c r="J330" s="59">
        <v>989</v>
      </c>
      <c r="N330" s="23"/>
    </row>
    <row r="332" spans="1:19" x14ac:dyDescent="0.25">
      <c r="A332" s="59" t="s">
        <v>97</v>
      </c>
      <c r="B332" s="59"/>
      <c r="C332" s="59"/>
      <c r="D332" s="59"/>
      <c r="E332" s="59"/>
      <c r="F332" s="59"/>
      <c r="G332" s="59"/>
      <c r="H332" s="59"/>
      <c r="I332" s="59"/>
      <c r="J332" s="59"/>
      <c r="M332" s="19"/>
      <c r="N332" s="29"/>
      <c r="O332" s="30"/>
    </row>
    <row r="333" spans="1:19" x14ac:dyDescent="0.25">
      <c r="A333" s="56" t="s">
        <v>293</v>
      </c>
      <c r="B333" s="56">
        <v>2003</v>
      </c>
      <c r="C333" s="56" t="s">
        <v>97</v>
      </c>
      <c r="D333" s="56" t="s">
        <v>239</v>
      </c>
      <c r="E333" s="56" t="s">
        <v>286</v>
      </c>
      <c r="F333" s="57" t="s">
        <v>257</v>
      </c>
      <c r="G333" s="56">
        <v>25</v>
      </c>
      <c r="H333" s="56">
        <v>93</v>
      </c>
      <c r="I333" s="56">
        <v>13</v>
      </c>
      <c r="J333" s="56">
        <v>102</v>
      </c>
    </row>
    <row r="334" spans="1:19" x14ac:dyDescent="0.25">
      <c r="A334" s="56" t="s">
        <v>360</v>
      </c>
      <c r="B334" s="56">
        <v>2018</v>
      </c>
      <c r="C334" s="56" t="s">
        <v>261</v>
      </c>
      <c r="G334" s="56">
        <v>8</v>
      </c>
      <c r="H334" s="56">
        <v>106</v>
      </c>
      <c r="I334" s="56">
        <v>19</v>
      </c>
      <c r="J334" s="56">
        <v>209</v>
      </c>
    </row>
    <row r="335" spans="1:19" x14ac:dyDescent="0.25">
      <c r="A335" s="56" t="s">
        <v>224</v>
      </c>
      <c r="B335" s="56">
        <v>1992</v>
      </c>
      <c r="C335" s="59" t="s">
        <v>243</v>
      </c>
      <c r="D335" s="56" t="s">
        <v>239</v>
      </c>
      <c r="F335" s="57" t="s">
        <v>112</v>
      </c>
      <c r="G335" s="56">
        <v>56</v>
      </c>
      <c r="H335" s="56">
        <v>29</v>
      </c>
      <c r="I335" s="56">
        <v>323</v>
      </c>
      <c r="J335" s="56">
        <v>60</v>
      </c>
      <c r="Q335" s="28"/>
      <c r="R335" s="28"/>
      <c r="S335" s="28"/>
    </row>
    <row r="345" spans="6:6" x14ac:dyDescent="0.25">
      <c r="F345" s="57" t="s">
        <v>221</v>
      </c>
    </row>
  </sheetData>
  <sortState ref="L39:S52">
    <sortCondition ref="L3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="80" zoomScaleNormal="80" workbookViewId="0">
      <selection activeCell="A137" sqref="A137:F144"/>
    </sheetView>
  </sheetViews>
  <sheetFormatPr defaultRowHeight="15" x14ac:dyDescent="0.25"/>
  <cols>
    <col min="1" max="1" width="16.28515625" style="59" customWidth="1"/>
    <col min="2" max="2" width="9.140625" style="59"/>
    <col min="3" max="3" width="23.7109375" style="59" bestFit="1" customWidth="1"/>
    <col min="4" max="4" width="18.140625" style="59" customWidth="1"/>
    <col min="5" max="5" width="17.140625" style="59" bestFit="1" customWidth="1"/>
    <col min="6" max="6" width="9.85546875" style="59" bestFit="1" customWidth="1"/>
    <col min="7" max="7" width="17.28515625" style="59" customWidth="1"/>
    <col min="8" max="16384" width="9.140625" style="59"/>
  </cols>
  <sheetData>
    <row r="1" spans="1:8" ht="18.75" x14ac:dyDescent="0.3">
      <c r="A1" s="63" t="s">
        <v>4</v>
      </c>
    </row>
    <row r="2" spans="1:8" x14ac:dyDescent="0.25">
      <c r="A2" s="59" t="s">
        <v>50</v>
      </c>
    </row>
    <row r="3" spans="1:8" x14ac:dyDescent="0.25">
      <c r="A3" s="59" t="s">
        <v>10</v>
      </c>
      <c r="B3" s="59" t="s">
        <v>0</v>
      </c>
      <c r="C3" s="59" t="s">
        <v>47</v>
      </c>
      <c r="D3" s="59" t="s">
        <v>48</v>
      </c>
      <c r="E3" s="59" t="s">
        <v>186</v>
      </c>
      <c r="F3" s="59" t="s">
        <v>165</v>
      </c>
      <c r="G3" s="59" t="s">
        <v>166</v>
      </c>
    </row>
    <row r="4" spans="1:8" hidden="1" x14ac:dyDescent="0.25">
      <c r="A4" s="59" t="s">
        <v>36</v>
      </c>
      <c r="B4" s="59">
        <v>2004</v>
      </c>
      <c r="C4" s="59" t="s">
        <v>50</v>
      </c>
      <c r="D4" s="59" t="s">
        <v>185</v>
      </c>
      <c r="E4" s="59" t="s">
        <v>238</v>
      </c>
      <c r="F4" s="59">
        <v>62</v>
      </c>
      <c r="G4" s="59">
        <v>428</v>
      </c>
      <c r="H4" s="59" t="s">
        <v>375</v>
      </c>
    </row>
    <row r="5" spans="1:8" x14ac:dyDescent="0.25">
      <c r="A5" s="59" t="s">
        <v>232</v>
      </c>
      <c r="B5" s="59">
        <v>2012</v>
      </c>
      <c r="C5" s="59" t="s">
        <v>50</v>
      </c>
      <c r="D5" s="59" t="s">
        <v>185</v>
      </c>
      <c r="E5" s="59" t="s">
        <v>238</v>
      </c>
      <c r="F5" s="59">
        <v>77</v>
      </c>
      <c r="G5" s="59">
        <v>29530</v>
      </c>
    </row>
    <row r="6" spans="1:8" x14ac:dyDescent="0.25">
      <c r="A6" s="59" t="s">
        <v>196</v>
      </c>
      <c r="B6" s="59">
        <v>2002</v>
      </c>
      <c r="C6" s="59" t="s">
        <v>50</v>
      </c>
      <c r="E6" s="59" t="s">
        <v>238</v>
      </c>
      <c r="F6" s="59">
        <v>288</v>
      </c>
      <c r="G6" s="59">
        <v>23027</v>
      </c>
    </row>
    <row r="7" spans="1:8" x14ac:dyDescent="0.25">
      <c r="A7" s="59" t="s">
        <v>255</v>
      </c>
      <c r="B7" s="59">
        <v>2016</v>
      </c>
      <c r="C7" s="59" t="s">
        <v>50</v>
      </c>
      <c r="D7" s="59" t="s">
        <v>185</v>
      </c>
      <c r="E7" s="59" t="s">
        <v>238</v>
      </c>
      <c r="F7" s="59">
        <v>173</v>
      </c>
      <c r="G7" s="59">
        <v>37856</v>
      </c>
    </row>
    <row r="8" spans="1:8" x14ac:dyDescent="0.25">
      <c r="A8" s="59" t="s">
        <v>20</v>
      </c>
      <c r="B8" s="59">
        <v>2012</v>
      </c>
      <c r="C8" s="59" t="s">
        <v>50</v>
      </c>
      <c r="E8" s="59" t="s">
        <v>238</v>
      </c>
      <c r="F8" s="59">
        <v>16</v>
      </c>
      <c r="G8" s="59">
        <v>1000</v>
      </c>
    </row>
    <row r="9" spans="1:8" x14ac:dyDescent="0.25">
      <c r="A9" s="59" t="s">
        <v>290</v>
      </c>
      <c r="B9" s="59">
        <v>1981</v>
      </c>
      <c r="C9" s="59" t="s">
        <v>50</v>
      </c>
      <c r="D9" s="59" t="s">
        <v>185</v>
      </c>
      <c r="E9" s="59" t="s">
        <v>238</v>
      </c>
      <c r="F9" s="59">
        <v>9</v>
      </c>
      <c r="G9" s="59">
        <v>773</v>
      </c>
    </row>
    <row r="10" spans="1:8" x14ac:dyDescent="0.25">
      <c r="A10" s="59" t="s">
        <v>39</v>
      </c>
      <c r="B10" s="59">
        <v>1987</v>
      </c>
      <c r="C10" s="59" t="s">
        <v>50</v>
      </c>
      <c r="D10" s="59" t="s">
        <v>185</v>
      </c>
      <c r="E10" s="59" t="s">
        <v>238</v>
      </c>
      <c r="F10" s="59">
        <v>57</v>
      </c>
      <c r="G10" s="59">
        <v>4650</v>
      </c>
    </row>
    <row r="11" spans="1:8" x14ac:dyDescent="0.25">
      <c r="A11" s="59" t="s">
        <v>240</v>
      </c>
      <c r="B11" s="59">
        <v>2016</v>
      </c>
      <c r="C11" s="59" t="s">
        <v>50</v>
      </c>
      <c r="E11" s="59" t="s">
        <v>238</v>
      </c>
      <c r="F11" s="59">
        <v>133</v>
      </c>
      <c r="G11" s="59">
        <v>18500</v>
      </c>
    </row>
    <row r="12" spans="1:8" x14ac:dyDescent="0.25">
      <c r="A12" s="59" t="s">
        <v>204</v>
      </c>
      <c r="B12" s="59">
        <v>2000</v>
      </c>
      <c r="C12" s="59" t="s">
        <v>50</v>
      </c>
      <c r="E12" s="59" t="s">
        <v>350</v>
      </c>
      <c r="F12" s="59">
        <v>4</v>
      </c>
      <c r="G12" s="59">
        <v>1064</v>
      </c>
    </row>
    <row r="13" spans="1:8" x14ac:dyDescent="0.25">
      <c r="A13" s="59" t="s">
        <v>204</v>
      </c>
      <c r="B13" s="59">
        <v>2000</v>
      </c>
      <c r="C13" s="59" t="s">
        <v>50</v>
      </c>
      <c r="E13" s="59" t="s">
        <v>238</v>
      </c>
      <c r="F13" s="59">
        <v>16</v>
      </c>
      <c r="G13" s="59">
        <v>1064</v>
      </c>
    </row>
    <row r="14" spans="1:8" x14ac:dyDescent="0.25">
      <c r="A14" s="59" t="s">
        <v>228</v>
      </c>
      <c r="B14" s="59">
        <v>2014</v>
      </c>
      <c r="C14" s="59" t="s">
        <v>50</v>
      </c>
      <c r="E14" s="59" t="s">
        <v>238</v>
      </c>
      <c r="F14" s="59">
        <v>10</v>
      </c>
      <c r="G14" s="59">
        <v>2864</v>
      </c>
    </row>
    <row r="15" spans="1:8" hidden="1" x14ac:dyDescent="0.25">
      <c r="A15" s="59" t="s">
        <v>228</v>
      </c>
      <c r="B15" s="59">
        <v>2014</v>
      </c>
      <c r="C15" s="59" t="s">
        <v>50</v>
      </c>
      <c r="E15" s="59" t="s">
        <v>350</v>
      </c>
      <c r="F15" s="59">
        <v>4</v>
      </c>
      <c r="G15" s="59" t="s">
        <v>376</v>
      </c>
    </row>
    <row r="16" spans="1:8" x14ac:dyDescent="0.25">
      <c r="A16" s="59" t="s">
        <v>209</v>
      </c>
      <c r="B16" s="59">
        <v>2001</v>
      </c>
      <c r="C16" s="59" t="s">
        <v>50</v>
      </c>
      <c r="E16" s="59" t="s">
        <v>238</v>
      </c>
      <c r="F16" s="59">
        <v>841</v>
      </c>
      <c r="G16" s="59">
        <v>69139</v>
      </c>
    </row>
    <row r="17" spans="1:7" x14ac:dyDescent="0.25">
      <c r="A17" s="59" t="s">
        <v>51</v>
      </c>
      <c r="B17" s="59">
        <v>2014</v>
      </c>
      <c r="C17" s="59" t="s">
        <v>50</v>
      </c>
      <c r="D17" s="59" t="s">
        <v>187</v>
      </c>
      <c r="E17" s="59" t="s">
        <v>238</v>
      </c>
      <c r="F17" s="59">
        <v>1344</v>
      </c>
      <c r="G17" s="59">
        <v>121227</v>
      </c>
    </row>
    <row r="18" spans="1:7" hidden="1" x14ac:dyDescent="0.25">
      <c r="A18" s="59" t="s">
        <v>145</v>
      </c>
      <c r="B18" s="59">
        <v>2017</v>
      </c>
      <c r="C18" s="59" t="s">
        <v>50</v>
      </c>
      <c r="D18" s="59" t="s">
        <v>250</v>
      </c>
      <c r="E18" s="59" t="s">
        <v>238</v>
      </c>
      <c r="F18" s="59">
        <v>16</v>
      </c>
      <c r="G18" s="59">
        <v>98</v>
      </c>
    </row>
    <row r="19" spans="1:7" x14ac:dyDescent="0.25">
      <c r="A19" s="59" t="s">
        <v>93</v>
      </c>
      <c r="B19" s="59">
        <v>2018</v>
      </c>
      <c r="C19" s="59" t="s">
        <v>50</v>
      </c>
      <c r="E19" s="59" t="s">
        <v>238</v>
      </c>
      <c r="F19" s="59">
        <v>11271</v>
      </c>
      <c r="G19" s="59">
        <v>856300</v>
      </c>
    </row>
    <row r="20" spans="1:7" x14ac:dyDescent="0.25">
      <c r="A20" s="59" t="s">
        <v>213</v>
      </c>
      <c r="B20" s="59">
        <v>1993</v>
      </c>
      <c r="C20" s="59" t="s">
        <v>50</v>
      </c>
      <c r="D20" s="59" t="s">
        <v>187</v>
      </c>
      <c r="E20" s="59" t="s">
        <v>238</v>
      </c>
      <c r="F20" s="59">
        <v>24</v>
      </c>
      <c r="G20" s="59">
        <v>1016</v>
      </c>
    </row>
    <row r="21" spans="1:7" x14ac:dyDescent="0.25">
      <c r="A21" s="59" t="s">
        <v>114</v>
      </c>
      <c r="B21" s="59">
        <v>1988</v>
      </c>
      <c r="C21" s="59" t="s">
        <v>50</v>
      </c>
      <c r="E21" s="59" t="s">
        <v>238</v>
      </c>
      <c r="F21" s="59">
        <v>6</v>
      </c>
      <c r="G21" s="59">
        <v>1115</v>
      </c>
    </row>
    <row r="22" spans="1:7" x14ac:dyDescent="0.25">
      <c r="A22" s="59" t="s">
        <v>139</v>
      </c>
      <c r="B22" s="59">
        <v>2018</v>
      </c>
      <c r="C22" s="59" t="s">
        <v>50</v>
      </c>
      <c r="E22" s="59" t="s">
        <v>238</v>
      </c>
      <c r="F22" s="59">
        <v>3</v>
      </c>
      <c r="G22" s="59">
        <v>434</v>
      </c>
    </row>
    <row r="23" spans="1:7" x14ac:dyDescent="0.25">
      <c r="A23" s="59" t="s">
        <v>141</v>
      </c>
      <c r="B23" s="59">
        <v>2013</v>
      </c>
      <c r="C23" s="59" t="s">
        <v>50</v>
      </c>
      <c r="E23" s="59" t="s">
        <v>238</v>
      </c>
      <c r="F23" s="59">
        <v>313</v>
      </c>
      <c r="G23" s="59">
        <v>24456</v>
      </c>
    </row>
    <row r="24" spans="1:7" x14ac:dyDescent="0.25">
      <c r="A24" s="59" t="s">
        <v>116</v>
      </c>
      <c r="B24" s="59">
        <v>1981</v>
      </c>
      <c r="C24" s="59" t="s">
        <v>50</v>
      </c>
      <c r="E24" s="59" t="s">
        <v>272</v>
      </c>
      <c r="F24" s="59">
        <v>5</v>
      </c>
      <c r="G24" s="59">
        <v>536</v>
      </c>
    </row>
    <row r="25" spans="1:7" x14ac:dyDescent="0.25">
      <c r="A25" s="59" t="s">
        <v>219</v>
      </c>
      <c r="B25" s="59">
        <v>2017</v>
      </c>
      <c r="C25" s="59" t="s">
        <v>50</v>
      </c>
      <c r="E25" s="59" t="s">
        <v>238</v>
      </c>
      <c r="F25" s="59">
        <v>3</v>
      </c>
      <c r="G25" s="59">
        <v>265</v>
      </c>
    </row>
    <row r="26" spans="1:7" x14ac:dyDescent="0.25">
      <c r="A26" s="59" t="s">
        <v>201</v>
      </c>
      <c r="B26" s="59">
        <v>2017</v>
      </c>
      <c r="C26" s="59" t="s">
        <v>50</v>
      </c>
      <c r="E26" s="59" t="s">
        <v>238</v>
      </c>
      <c r="F26" s="59">
        <v>33</v>
      </c>
      <c r="G26" s="59">
        <v>1000</v>
      </c>
    </row>
    <row r="27" spans="1:7" x14ac:dyDescent="0.25">
      <c r="A27" s="59" t="s">
        <v>115</v>
      </c>
      <c r="B27" s="59">
        <v>2000</v>
      </c>
      <c r="C27" s="59" t="s">
        <v>50</v>
      </c>
      <c r="D27" s="59" t="s">
        <v>142</v>
      </c>
      <c r="E27" s="59" t="s">
        <v>238</v>
      </c>
      <c r="F27" s="59">
        <v>216</v>
      </c>
      <c r="G27" s="59">
        <v>22012</v>
      </c>
    </row>
    <row r="28" spans="1:7" hidden="1" x14ac:dyDescent="0.25">
      <c r="A28" s="59" t="s">
        <v>115</v>
      </c>
      <c r="B28" s="59">
        <v>2000</v>
      </c>
      <c r="C28" s="59" t="s">
        <v>50</v>
      </c>
      <c r="D28" s="59" t="s">
        <v>143</v>
      </c>
      <c r="E28" s="59" t="s">
        <v>238</v>
      </c>
      <c r="F28" s="59">
        <v>202</v>
      </c>
      <c r="G28" s="59">
        <v>22012</v>
      </c>
    </row>
    <row r="29" spans="1:7" hidden="1" x14ac:dyDescent="0.25">
      <c r="A29" s="59" t="s">
        <v>115</v>
      </c>
      <c r="B29" s="59">
        <v>2000</v>
      </c>
      <c r="C29" s="59" t="s">
        <v>50</v>
      </c>
      <c r="D29" s="59" t="s">
        <v>144</v>
      </c>
      <c r="E29" s="59" t="s">
        <v>238</v>
      </c>
      <c r="F29" s="59">
        <v>14</v>
      </c>
      <c r="G29" s="59">
        <v>22012</v>
      </c>
    </row>
    <row r="30" spans="1:7" x14ac:dyDescent="0.25">
      <c r="A30" s="59" t="s">
        <v>140</v>
      </c>
      <c r="B30" s="59">
        <v>2016</v>
      </c>
      <c r="C30" s="59" t="s">
        <v>50</v>
      </c>
      <c r="E30" s="59" t="s">
        <v>238</v>
      </c>
      <c r="F30" s="59">
        <v>27</v>
      </c>
      <c r="G30" s="59">
        <v>5634</v>
      </c>
    </row>
    <row r="31" spans="1:7" x14ac:dyDescent="0.25">
      <c r="A31" s="59" t="s">
        <v>104</v>
      </c>
      <c r="B31" s="59">
        <v>2012</v>
      </c>
      <c r="C31" s="59" t="s">
        <v>50</v>
      </c>
      <c r="E31" s="59" t="s">
        <v>238</v>
      </c>
      <c r="F31" s="59">
        <v>52</v>
      </c>
      <c r="G31" s="59">
        <v>10453</v>
      </c>
    </row>
    <row r="32" spans="1:7" hidden="1" x14ac:dyDescent="0.25">
      <c r="A32" s="59" t="s">
        <v>128</v>
      </c>
      <c r="B32" s="59">
        <v>2009</v>
      </c>
      <c r="C32" s="59" t="s">
        <v>50</v>
      </c>
      <c r="F32" s="59">
        <v>33</v>
      </c>
      <c r="G32" s="59">
        <v>224</v>
      </c>
    </row>
    <row r="33" spans="1:7" x14ac:dyDescent="0.25">
      <c r="A33" s="59" t="s">
        <v>135</v>
      </c>
      <c r="B33" s="59">
        <v>2015</v>
      </c>
      <c r="C33" s="59" t="s">
        <v>50</v>
      </c>
      <c r="E33" s="59" t="s">
        <v>238</v>
      </c>
      <c r="F33" s="59">
        <v>22</v>
      </c>
      <c r="G33" s="59">
        <v>1060</v>
      </c>
    </row>
    <row r="34" spans="1:7" x14ac:dyDescent="0.25">
      <c r="A34" s="59" t="s">
        <v>161</v>
      </c>
      <c r="B34" s="59">
        <v>2013</v>
      </c>
      <c r="C34" s="59" t="s">
        <v>50</v>
      </c>
      <c r="E34" s="59" t="s">
        <v>238</v>
      </c>
      <c r="F34" s="59">
        <v>2</v>
      </c>
      <c r="G34" s="59">
        <v>200</v>
      </c>
    </row>
    <row r="37" spans="1:7" x14ac:dyDescent="0.25">
      <c r="A37" s="59" t="s">
        <v>52</v>
      </c>
    </row>
    <row r="38" spans="1:7" x14ac:dyDescent="0.25">
      <c r="A38" s="59" t="s">
        <v>10</v>
      </c>
      <c r="B38" s="59" t="s">
        <v>0</v>
      </c>
      <c r="C38" s="59" t="s">
        <v>168</v>
      </c>
      <c r="D38" s="59" t="s">
        <v>169</v>
      </c>
      <c r="E38" s="23" t="s">
        <v>165</v>
      </c>
      <c r="F38" s="23" t="s">
        <v>166</v>
      </c>
    </row>
    <row r="39" spans="1:7" x14ac:dyDescent="0.25">
      <c r="A39" s="59" t="s">
        <v>36</v>
      </c>
      <c r="B39" s="59">
        <v>2004</v>
      </c>
      <c r="C39" s="59" t="s">
        <v>53</v>
      </c>
      <c r="D39" s="59" t="s">
        <v>112</v>
      </c>
      <c r="E39" s="23">
        <v>42</v>
      </c>
      <c r="F39" s="23">
        <v>428</v>
      </c>
    </row>
    <row r="40" spans="1:7" x14ac:dyDescent="0.25">
      <c r="A40" s="59" t="s">
        <v>36</v>
      </c>
      <c r="B40" s="59">
        <v>2004</v>
      </c>
      <c r="C40" s="59" t="s">
        <v>55</v>
      </c>
      <c r="D40" s="59" t="s">
        <v>112</v>
      </c>
      <c r="E40" s="23">
        <v>41</v>
      </c>
      <c r="F40" s="23">
        <v>428</v>
      </c>
    </row>
    <row r="41" spans="1:7" x14ac:dyDescent="0.25">
      <c r="A41" s="59" t="s">
        <v>343</v>
      </c>
      <c r="B41" s="59">
        <v>2012</v>
      </c>
      <c r="C41" s="59" t="s">
        <v>53</v>
      </c>
      <c r="D41" s="59" t="s">
        <v>151</v>
      </c>
      <c r="E41" s="23">
        <v>94</v>
      </c>
      <c r="F41" s="23">
        <v>600</v>
      </c>
    </row>
    <row r="42" spans="1:7" x14ac:dyDescent="0.25">
      <c r="A42" s="59" t="s">
        <v>343</v>
      </c>
      <c r="B42" s="59">
        <v>2012</v>
      </c>
      <c r="C42" s="59" t="s">
        <v>55</v>
      </c>
      <c r="D42" s="59" t="s">
        <v>151</v>
      </c>
      <c r="E42" s="23">
        <v>52</v>
      </c>
      <c r="F42" s="23">
        <v>600</v>
      </c>
    </row>
    <row r="43" spans="1:7" x14ac:dyDescent="0.25">
      <c r="A43" s="59" t="s">
        <v>40</v>
      </c>
      <c r="B43" s="59">
        <v>2012</v>
      </c>
      <c r="C43" s="59" t="s">
        <v>53</v>
      </c>
      <c r="D43" s="59" t="s">
        <v>112</v>
      </c>
      <c r="E43" s="23">
        <v>117</v>
      </c>
      <c r="F43" s="23">
        <v>1000</v>
      </c>
    </row>
    <row r="44" spans="1:7" x14ac:dyDescent="0.25">
      <c r="A44" s="59" t="s">
        <v>40</v>
      </c>
      <c r="B44" s="59">
        <v>2012</v>
      </c>
      <c r="C44" s="59" t="s">
        <v>55</v>
      </c>
      <c r="D44" s="59" t="s">
        <v>112</v>
      </c>
      <c r="E44" s="23">
        <v>100</v>
      </c>
      <c r="F44" s="23">
        <v>1000</v>
      </c>
    </row>
    <row r="45" spans="1:7" x14ac:dyDescent="0.25">
      <c r="A45" s="59" t="s">
        <v>41</v>
      </c>
      <c r="B45" s="59">
        <v>2006</v>
      </c>
      <c r="C45" s="59" t="s">
        <v>53</v>
      </c>
      <c r="D45" s="59" t="s">
        <v>112</v>
      </c>
      <c r="E45" s="23">
        <v>142</v>
      </c>
      <c r="F45" s="23">
        <v>885</v>
      </c>
    </row>
    <row r="46" spans="1:7" x14ac:dyDescent="0.25">
      <c r="A46" s="59" t="s">
        <v>56</v>
      </c>
      <c r="B46" s="59">
        <v>2006</v>
      </c>
      <c r="C46" s="59" t="s">
        <v>55</v>
      </c>
      <c r="D46" s="59" t="s">
        <v>112</v>
      </c>
      <c r="E46" s="23">
        <v>59</v>
      </c>
      <c r="F46" s="23">
        <v>885</v>
      </c>
    </row>
    <row r="47" spans="1:7" x14ac:dyDescent="0.25">
      <c r="A47" s="59" t="s">
        <v>41</v>
      </c>
      <c r="B47" s="59">
        <v>2007</v>
      </c>
      <c r="C47" s="59" t="s">
        <v>53</v>
      </c>
      <c r="D47" s="59" t="s">
        <v>112</v>
      </c>
      <c r="E47" s="23">
        <v>101</v>
      </c>
      <c r="F47" s="23">
        <v>565</v>
      </c>
    </row>
    <row r="48" spans="1:7" x14ac:dyDescent="0.25">
      <c r="A48" s="59" t="s">
        <v>56</v>
      </c>
      <c r="B48" s="59">
        <v>2007</v>
      </c>
      <c r="C48" s="59" t="s">
        <v>55</v>
      </c>
      <c r="D48" s="59" t="s">
        <v>112</v>
      </c>
      <c r="E48" s="23">
        <v>76</v>
      </c>
      <c r="F48" s="23">
        <v>565</v>
      </c>
    </row>
    <row r="49" spans="1:6" x14ac:dyDescent="0.25">
      <c r="A49" s="59" t="s">
        <v>41</v>
      </c>
      <c r="B49" s="59">
        <v>2006</v>
      </c>
      <c r="C49" s="59" t="s">
        <v>53</v>
      </c>
      <c r="D49" s="59" t="s">
        <v>299</v>
      </c>
      <c r="E49" s="23">
        <v>7</v>
      </c>
      <c r="F49" s="23">
        <v>81</v>
      </c>
    </row>
    <row r="50" spans="1:6" x14ac:dyDescent="0.25">
      <c r="A50" s="59" t="s">
        <v>56</v>
      </c>
      <c r="B50" s="59">
        <v>2006</v>
      </c>
      <c r="C50" s="59" t="s">
        <v>55</v>
      </c>
      <c r="D50" s="59" t="s">
        <v>299</v>
      </c>
      <c r="E50" s="23">
        <v>6</v>
      </c>
      <c r="F50" s="23">
        <v>81</v>
      </c>
    </row>
    <row r="51" spans="1:6" x14ac:dyDescent="0.25">
      <c r="A51" s="59" t="s">
        <v>54</v>
      </c>
      <c r="B51" s="59">
        <v>2012</v>
      </c>
      <c r="C51" s="59" t="s">
        <v>53</v>
      </c>
      <c r="D51" s="59" t="s">
        <v>112</v>
      </c>
      <c r="E51" s="23">
        <v>12</v>
      </c>
      <c r="F51" s="23">
        <v>100</v>
      </c>
    </row>
    <row r="52" spans="1:6" x14ac:dyDescent="0.25">
      <c r="A52" s="59" t="s">
        <v>54</v>
      </c>
      <c r="B52" s="59">
        <v>2012</v>
      </c>
      <c r="C52" s="59" t="s">
        <v>55</v>
      </c>
      <c r="D52" s="59" t="s">
        <v>112</v>
      </c>
      <c r="E52" s="23">
        <v>15</v>
      </c>
      <c r="F52" s="23">
        <v>100</v>
      </c>
    </row>
    <row r="53" spans="1:6" x14ac:dyDescent="0.25">
      <c r="A53" s="59" t="s">
        <v>207</v>
      </c>
      <c r="B53" s="59">
        <v>1996</v>
      </c>
      <c r="C53" s="59" t="s">
        <v>53</v>
      </c>
      <c r="D53" s="59" t="s">
        <v>112</v>
      </c>
      <c r="E53" s="23">
        <v>30</v>
      </c>
      <c r="F53" s="23">
        <v>147</v>
      </c>
    </row>
    <row r="54" spans="1:6" x14ac:dyDescent="0.25">
      <c r="A54" s="59" t="s">
        <v>207</v>
      </c>
      <c r="B54" s="59">
        <v>1996</v>
      </c>
      <c r="C54" s="59" t="s">
        <v>55</v>
      </c>
      <c r="D54" s="59" t="s">
        <v>112</v>
      </c>
      <c r="E54" s="23">
        <v>30</v>
      </c>
      <c r="F54" s="23">
        <v>147</v>
      </c>
    </row>
    <row r="55" spans="1:6" x14ac:dyDescent="0.25">
      <c r="A55" s="59" t="s">
        <v>208</v>
      </c>
      <c r="B55" s="59">
        <v>2000</v>
      </c>
      <c r="C55" s="59" t="s">
        <v>53</v>
      </c>
      <c r="D55" s="59" t="s">
        <v>112</v>
      </c>
      <c r="E55" s="23">
        <v>62</v>
      </c>
      <c r="F55" s="23">
        <v>657</v>
      </c>
    </row>
    <row r="56" spans="1:6" x14ac:dyDescent="0.25">
      <c r="A56" s="59" t="s">
        <v>208</v>
      </c>
      <c r="B56" s="59">
        <v>2000</v>
      </c>
      <c r="C56" s="59" t="s">
        <v>55</v>
      </c>
      <c r="D56" s="59" t="s">
        <v>112</v>
      </c>
      <c r="E56" s="23">
        <v>68</v>
      </c>
      <c r="F56" s="23">
        <v>657</v>
      </c>
    </row>
    <row r="57" spans="1:6" x14ac:dyDescent="0.25">
      <c r="A57" s="59" t="s">
        <v>241</v>
      </c>
      <c r="B57" s="59">
        <v>2014</v>
      </c>
      <c r="C57" s="59" t="s">
        <v>53</v>
      </c>
      <c r="D57" s="59" t="s">
        <v>112</v>
      </c>
      <c r="E57" s="23">
        <v>11</v>
      </c>
      <c r="F57" s="23">
        <v>102</v>
      </c>
    </row>
    <row r="58" spans="1:6" x14ac:dyDescent="0.25">
      <c r="A58" s="59" t="s">
        <v>241</v>
      </c>
      <c r="B58" s="59">
        <v>2014</v>
      </c>
      <c r="C58" s="59" t="s">
        <v>55</v>
      </c>
      <c r="D58" s="59" t="s">
        <v>112</v>
      </c>
      <c r="E58" s="23">
        <v>10</v>
      </c>
      <c r="F58" s="23">
        <v>102</v>
      </c>
    </row>
    <row r="59" spans="1:6" x14ac:dyDescent="0.25">
      <c r="A59" s="59" t="s">
        <v>46</v>
      </c>
      <c r="B59" s="59">
        <v>2014</v>
      </c>
      <c r="C59" s="59" t="s">
        <v>53</v>
      </c>
      <c r="D59" s="59" t="s">
        <v>112</v>
      </c>
      <c r="E59" s="23">
        <v>108</v>
      </c>
      <c r="F59" s="23">
        <v>1082</v>
      </c>
    </row>
    <row r="60" spans="1:6" x14ac:dyDescent="0.25">
      <c r="A60" s="59" t="s">
        <v>46</v>
      </c>
      <c r="B60" s="59">
        <v>2014</v>
      </c>
      <c r="C60" s="59" t="s">
        <v>55</v>
      </c>
      <c r="D60" s="59" t="s">
        <v>112</v>
      </c>
      <c r="E60" s="23">
        <v>108</v>
      </c>
      <c r="F60" s="23">
        <v>1082</v>
      </c>
    </row>
    <row r="61" spans="1:6" x14ac:dyDescent="0.25">
      <c r="A61" s="59" t="s">
        <v>182</v>
      </c>
      <c r="B61" s="59">
        <v>2006</v>
      </c>
      <c r="C61" s="59" t="s">
        <v>53</v>
      </c>
      <c r="D61" s="59" t="s">
        <v>112</v>
      </c>
      <c r="E61" s="23">
        <v>78</v>
      </c>
      <c r="F61" s="23">
        <v>699</v>
      </c>
    </row>
    <row r="62" spans="1:6" x14ac:dyDescent="0.25">
      <c r="A62" s="59" t="s">
        <v>182</v>
      </c>
      <c r="B62" s="59">
        <v>2006</v>
      </c>
      <c r="C62" s="59" t="s">
        <v>55</v>
      </c>
      <c r="D62" s="59" t="s">
        <v>112</v>
      </c>
      <c r="E62" s="23">
        <v>87</v>
      </c>
      <c r="F62" s="23">
        <v>699</v>
      </c>
    </row>
    <row r="63" spans="1:6" x14ac:dyDescent="0.25">
      <c r="A63" s="59" t="s">
        <v>214</v>
      </c>
      <c r="B63" s="59">
        <v>2000</v>
      </c>
      <c r="C63" s="59" t="s">
        <v>55</v>
      </c>
      <c r="D63" s="59" t="s">
        <v>112</v>
      </c>
      <c r="E63" s="23">
        <v>275</v>
      </c>
      <c r="F63" s="23">
        <v>1329</v>
      </c>
    </row>
    <row r="64" spans="1:6" x14ac:dyDescent="0.25">
      <c r="A64" s="59" t="s">
        <v>214</v>
      </c>
      <c r="B64" s="59">
        <v>2000</v>
      </c>
      <c r="C64" s="59" t="s">
        <v>53</v>
      </c>
      <c r="D64" s="59" t="s">
        <v>112</v>
      </c>
      <c r="E64" s="23">
        <v>180</v>
      </c>
      <c r="F64" s="23">
        <v>1329</v>
      </c>
    </row>
    <row r="65" spans="1:6" x14ac:dyDescent="0.25">
      <c r="A65" s="59" t="s">
        <v>122</v>
      </c>
      <c r="B65" s="59">
        <v>2015</v>
      </c>
      <c r="C65" s="59" t="s">
        <v>53</v>
      </c>
      <c r="D65" s="59" t="s">
        <v>151</v>
      </c>
      <c r="E65" s="23">
        <v>18</v>
      </c>
      <c r="F65" s="23">
        <v>200</v>
      </c>
    </row>
    <row r="66" spans="1:6" x14ac:dyDescent="0.25">
      <c r="A66" s="59" t="s">
        <v>122</v>
      </c>
      <c r="B66" s="59">
        <v>2015</v>
      </c>
      <c r="C66" s="59" t="s">
        <v>55</v>
      </c>
      <c r="D66" s="59" t="s">
        <v>151</v>
      </c>
      <c r="E66" s="23">
        <v>20</v>
      </c>
      <c r="F66" s="23">
        <v>200</v>
      </c>
    </row>
    <row r="67" spans="1:6" x14ac:dyDescent="0.25">
      <c r="A67" s="59" t="s">
        <v>121</v>
      </c>
      <c r="B67" s="59">
        <v>2017</v>
      </c>
      <c r="C67" s="59" t="s">
        <v>53</v>
      </c>
      <c r="D67" s="59" t="s">
        <v>151</v>
      </c>
      <c r="E67" s="23">
        <v>45</v>
      </c>
      <c r="F67" s="23">
        <v>430</v>
      </c>
    </row>
    <row r="68" spans="1:6" x14ac:dyDescent="0.25">
      <c r="A68" s="59" t="s">
        <v>121</v>
      </c>
      <c r="B68" s="59">
        <v>2017</v>
      </c>
      <c r="C68" s="59" t="s">
        <v>55</v>
      </c>
      <c r="D68" s="59" t="s">
        <v>151</v>
      </c>
      <c r="E68" s="23">
        <v>61</v>
      </c>
      <c r="F68" s="23">
        <v>430</v>
      </c>
    </row>
    <row r="69" spans="1:6" x14ac:dyDescent="0.25">
      <c r="A69" s="59" t="s">
        <v>216</v>
      </c>
      <c r="B69" s="59">
        <v>2018</v>
      </c>
      <c r="C69" s="59" t="s">
        <v>53</v>
      </c>
      <c r="D69" s="59" t="s">
        <v>112</v>
      </c>
      <c r="E69" s="23">
        <v>24</v>
      </c>
      <c r="F69" s="23">
        <v>434</v>
      </c>
    </row>
    <row r="70" spans="1:6" x14ac:dyDescent="0.25">
      <c r="A70" s="59" t="s">
        <v>216</v>
      </c>
      <c r="B70" s="59">
        <v>2018</v>
      </c>
      <c r="C70" s="59" t="s">
        <v>55</v>
      </c>
      <c r="D70" s="59" t="s">
        <v>112</v>
      </c>
      <c r="E70" s="23">
        <v>153</v>
      </c>
      <c r="F70" s="23">
        <v>434</v>
      </c>
    </row>
    <row r="71" spans="1:6" x14ac:dyDescent="0.25">
      <c r="A71" s="59" t="s">
        <v>153</v>
      </c>
      <c r="B71" s="59">
        <v>2006</v>
      </c>
      <c r="C71" s="59" t="s">
        <v>55</v>
      </c>
      <c r="D71" s="59" t="s">
        <v>112</v>
      </c>
      <c r="E71" s="23">
        <v>6</v>
      </c>
      <c r="F71" s="23">
        <v>139</v>
      </c>
    </row>
    <row r="72" spans="1:6" x14ac:dyDescent="0.25">
      <c r="A72" s="59" t="s">
        <v>109</v>
      </c>
      <c r="B72" s="59">
        <v>2002</v>
      </c>
      <c r="C72" s="59" t="s">
        <v>53</v>
      </c>
      <c r="D72" s="59" t="s">
        <v>112</v>
      </c>
      <c r="E72" s="23">
        <v>55</v>
      </c>
      <c r="F72" s="23">
        <v>374</v>
      </c>
    </row>
    <row r="73" spans="1:6" x14ac:dyDescent="0.25">
      <c r="A73" s="59" t="s">
        <v>109</v>
      </c>
      <c r="B73" s="59">
        <v>2002</v>
      </c>
      <c r="C73" s="59" t="s">
        <v>55</v>
      </c>
      <c r="D73" s="59" t="s">
        <v>112</v>
      </c>
      <c r="E73" s="23">
        <v>52</v>
      </c>
      <c r="F73" s="23">
        <v>374</v>
      </c>
    </row>
    <row r="74" spans="1:6" x14ac:dyDescent="0.25">
      <c r="A74" s="59" t="s">
        <v>99</v>
      </c>
      <c r="B74" s="59">
        <v>1995</v>
      </c>
      <c r="C74" s="59" t="s">
        <v>53</v>
      </c>
      <c r="D74" s="59" t="s">
        <v>151</v>
      </c>
      <c r="E74" s="23">
        <v>63</v>
      </c>
      <c r="F74" s="23">
        <v>635</v>
      </c>
    </row>
    <row r="75" spans="1:6" x14ac:dyDescent="0.25">
      <c r="A75" s="59" t="s">
        <v>99</v>
      </c>
      <c r="B75" s="59">
        <v>1995</v>
      </c>
      <c r="C75" s="59" t="s">
        <v>55</v>
      </c>
      <c r="D75" s="59" t="s">
        <v>151</v>
      </c>
      <c r="E75" s="23">
        <v>63</v>
      </c>
      <c r="F75" s="23">
        <v>635</v>
      </c>
    </row>
    <row r="76" spans="1:6" x14ac:dyDescent="0.25">
      <c r="A76" s="59" t="s">
        <v>140</v>
      </c>
      <c r="B76" s="59">
        <v>2016</v>
      </c>
      <c r="C76" s="59" t="s">
        <v>53</v>
      </c>
      <c r="D76" s="59" t="s">
        <v>112</v>
      </c>
      <c r="E76" s="23">
        <v>120</v>
      </c>
      <c r="F76" s="23">
        <v>5634</v>
      </c>
    </row>
    <row r="77" spans="1:6" x14ac:dyDescent="0.25">
      <c r="A77" s="59" t="s">
        <v>140</v>
      </c>
      <c r="B77" s="59">
        <v>2016</v>
      </c>
      <c r="C77" s="59" t="s">
        <v>55</v>
      </c>
      <c r="D77" s="59" t="s">
        <v>112</v>
      </c>
      <c r="E77" s="23">
        <v>310</v>
      </c>
      <c r="F77" s="23">
        <v>5634</v>
      </c>
    </row>
    <row r="78" spans="1:6" x14ac:dyDescent="0.25">
      <c r="A78" s="59" t="s">
        <v>124</v>
      </c>
      <c r="B78" s="59">
        <v>1994</v>
      </c>
      <c r="C78" s="59" t="s">
        <v>55</v>
      </c>
      <c r="D78" s="59" t="s">
        <v>112</v>
      </c>
      <c r="E78" s="23">
        <v>6</v>
      </c>
      <c r="F78" s="23">
        <v>100</v>
      </c>
    </row>
    <row r="79" spans="1:6" x14ac:dyDescent="0.25">
      <c r="A79" s="59" t="s">
        <v>152</v>
      </c>
      <c r="B79" s="59">
        <v>1994</v>
      </c>
      <c r="C79" s="59" t="s">
        <v>53</v>
      </c>
      <c r="D79" s="59" t="s">
        <v>112</v>
      </c>
      <c r="E79" s="23">
        <v>10</v>
      </c>
      <c r="F79" s="23">
        <v>100</v>
      </c>
    </row>
    <row r="83" spans="1:7" x14ac:dyDescent="0.25">
      <c r="A83" s="59" t="s">
        <v>67</v>
      </c>
    </row>
    <row r="84" spans="1:7" x14ac:dyDescent="0.25">
      <c r="A84" s="59" t="s">
        <v>10</v>
      </c>
      <c r="B84" s="59" t="s">
        <v>0</v>
      </c>
      <c r="C84" s="59" t="s">
        <v>168</v>
      </c>
      <c r="D84" s="59" t="s">
        <v>48</v>
      </c>
      <c r="E84" s="59" t="s">
        <v>188</v>
      </c>
      <c r="F84" s="24" t="s">
        <v>167</v>
      </c>
      <c r="G84" s="24" t="s">
        <v>166</v>
      </c>
    </row>
    <row r="85" spans="1:7" x14ac:dyDescent="0.25">
      <c r="A85" s="59" t="s">
        <v>36</v>
      </c>
      <c r="B85" s="59">
        <v>2004</v>
      </c>
      <c r="C85" s="59" t="s">
        <v>90</v>
      </c>
      <c r="D85" s="59" t="s">
        <v>90</v>
      </c>
      <c r="E85" s="59" t="s">
        <v>187</v>
      </c>
      <c r="F85" s="59">
        <v>36</v>
      </c>
      <c r="G85" s="59">
        <v>428</v>
      </c>
    </row>
    <row r="86" spans="1:7" x14ac:dyDescent="0.25">
      <c r="A86" s="59" t="s">
        <v>59</v>
      </c>
      <c r="B86" s="59">
        <v>1990</v>
      </c>
      <c r="C86" s="59" t="s">
        <v>189</v>
      </c>
      <c r="F86" s="59">
        <v>13</v>
      </c>
      <c r="G86" s="59">
        <v>1030</v>
      </c>
    </row>
    <row r="87" spans="1:7" x14ac:dyDescent="0.25">
      <c r="A87" s="59" t="s">
        <v>59</v>
      </c>
      <c r="B87" s="59">
        <v>1990</v>
      </c>
      <c r="C87" s="59" t="s">
        <v>190</v>
      </c>
      <c r="F87" s="59">
        <v>5</v>
      </c>
      <c r="G87" s="59">
        <v>1030</v>
      </c>
    </row>
    <row r="88" spans="1:7" x14ac:dyDescent="0.25">
      <c r="A88" s="59" t="s">
        <v>59</v>
      </c>
      <c r="B88" s="59">
        <v>1990</v>
      </c>
      <c r="C88" s="59" t="s">
        <v>67</v>
      </c>
      <c r="D88" s="59" t="s">
        <v>91</v>
      </c>
      <c r="F88" s="59">
        <v>210</v>
      </c>
      <c r="G88" s="59">
        <v>1030</v>
      </c>
    </row>
    <row r="89" spans="1:7" x14ac:dyDescent="0.25">
      <c r="A89" s="59" t="s">
        <v>59</v>
      </c>
      <c r="B89" s="59">
        <v>1990</v>
      </c>
      <c r="C89" s="59" t="s">
        <v>395</v>
      </c>
      <c r="D89" s="59" t="s">
        <v>68</v>
      </c>
      <c r="F89" s="59">
        <v>89</v>
      </c>
      <c r="G89" s="59">
        <v>1030</v>
      </c>
    </row>
    <row r="90" spans="1:7" x14ac:dyDescent="0.25">
      <c r="A90" s="59" t="s">
        <v>59</v>
      </c>
      <c r="B90" s="59">
        <v>1990</v>
      </c>
      <c r="C90" s="59" t="s">
        <v>395</v>
      </c>
      <c r="D90" s="59" t="s">
        <v>69</v>
      </c>
      <c r="F90" s="59">
        <v>114</v>
      </c>
      <c r="G90" s="59">
        <v>1030</v>
      </c>
    </row>
    <row r="91" spans="1:7" x14ac:dyDescent="0.25">
      <c r="A91" s="59" t="s">
        <v>65</v>
      </c>
      <c r="B91" s="59">
        <v>2017</v>
      </c>
      <c r="C91" s="59" t="s">
        <v>90</v>
      </c>
      <c r="F91" s="59">
        <v>3</v>
      </c>
      <c r="G91" s="59">
        <v>506</v>
      </c>
    </row>
    <row r="92" spans="1:7" x14ac:dyDescent="0.25">
      <c r="A92" s="59" t="s">
        <v>65</v>
      </c>
      <c r="B92" s="59">
        <v>2017</v>
      </c>
      <c r="C92" s="59" t="s">
        <v>154</v>
      </c>
      <c r="F92" s="59">
        <v>1</v>
      </c>
      <c r="G92" s="59">
        <v>506</v>
      </c>
    </row>
    <row r="93" spans="1:7" x14ac:dyDescent="0.25">
      <c r="A93" s="59" t="s">
        <v>93</v>
      </c>
      <c r="B93" s="59">
        <v>2018</v>
      </c>
      <c r="C93" s="59" t="s">
        <v>67</v>
      </c>
      <c r="F93" s="59">
        <v>176951</v>
      </c>
      <c r="G93" s="59">
        <v>856227</v>
      </c>
    </row>
    <row r="94" spans="1:7" x14ac:dyDescent="0.25">
      <c r="A94" s="59" t="s">
        <v>134</v>
      </c>
      <c r="B94" s="59">
        <v>1996</v>
      </c>
      <c r="C94" s="59" t="s">
        <v>67</v>
      </c>
      <c r="D94" s="59" t="s">
        <v>253</v>
      </c>
      <c r="F94" s="59">
        <v>13</v>
      </c>
      <c r="G94" s="59">
        <v>706</v>
      </c>
    </row>
    <row r="95" spans="1:7" x14ac:dyDescent="0.25">
      <c r="A95" s="59" t="s">
        <v>148</v>
      </c>
      <c r="B95" s="59">
        <v>2018</v>
      </c>
      <c r="C95" s="59" t="s">
        <v>67</v>
      </c>
      <c r="D95" s="59" t="s">
        <v>256</v>
      </c>
      <c r="E95" s="59" t="s">
        <v>112</v>
      </c>
      <c r="F95" s="59">
        <v>8</v>
      </c>
      <c r="G95" s="59">
        <v>434</v>
      </c>
    </row>
    <row r="96" spans="1:7" x14ac:dyDescent="0.25">
      <c r="A96" s="59" t="s">
        <v>115</v>
      </c>
      <c r="B96" s="59">
        <v>1995</v>
      </c>
      <c r="C96" s="59" t="s">
        <v>67</v>
      </c>
      <c r="D96" s="59" t="s">
        <v>302</v>
      </c>
      <c r="F96" s="59">
        <f>2125+593+137+24+5+6</f>
        <v>2890</v>
      </c>
      <c r="G96" s="59">
        <v>11201</v>
      </c>
    </row>
    <row r="97" spans="1:7" x14ac:dyDescent="0.25">
      <c r="A97" s="59" t="s">
        <v>140</v>
      </c>
      <c r="B97" s="59">
        <v>2016</v>
      </c>
      <c r="C97" s="59" t="s">
        <v>67</v>
      </c>
      <c r="F97" s="59">
        <v>41</v>
      </c>
      <c r="G97" s="59">
        <v>5634</v>
      </c>
    </row>
    <row r="98" spans="1:7" x14ac:dyDescent="0.25">
      <c r="A98" s="59" t="s">
        <v>135</v>
      </c>
      <c r="B98" s="59">
        <v>2015</v>
      </c>
      <c r="C98" s="59" t="s">
        <v>154</v>
      </c>
      <c r="D98" s="59" t="s">
        <v>155</v>
      </c>
      <c r="F98" s="59">
        <v>6</v>
      </c>
      <c r="G98" s="59">
        <v>530</v>
      </c>
    </row>
    <row r="99" spans="1:7" x14ac:dyDescent="0.25">
      <c r="A99" s="59" t="s">
        <v>135</v>
      </c>
      <c r="B99" s="59">
        <v>2015</v>
      </c>
      <c r="C99" s="59" t="s">
        <v>154</v>
      </c>
      <c r="D99" s="59" t="s">
        <v>156</v>
      </c>
      <c r="F99" s="59">
        <v>1</v>
      </c>
      <c r="G99" s="59">
        <v>530</v>
      </c>
    </row>
    <row r="100" spans="1:7" x14ac:dyDescent="0.25">
      <c r="A100" s="59" t="s">
        <v>135</v>
      </c>
      <c r="B100" s="59">
        <v>2015</v>
      </c>
      <c r="C100" s="59" t="s">
        <v>90</v>
      </c>
      <c r="D100" s="59" t="s">
        <v>155</v>
      </c>
      <c r="F100" s="59">
        <v>9</v>
      </c>
      <c r="G100" s="59">
        <v>530</v>
      </c>
    </row>
    <row r="101" spans="1:7" x14ac:dyDescent="0.25">
      <c r="A101" s="59" t="s">
        <v>135</v>
      </c>
      <c r="B101" s="59">
        <v>2015</v>
      </c>
      <c r="C101" s="59" t="s">
        <v>90</v>
      </c>
      <c r="D101" s="59" t="s">
        <v>156</v>
      </c>
      <c r="F101" s="59">
        <v>2</v>
      </c>
      <c r="G101" s="59">
        <v>530</v>
      </c>
    </row>
    <row r="102" spans="1:7" x14ac:dyDescent="0.25">
      <c r="F102" s="59">
        <f>SUM(F85:F101)</f>
        <v>180392</v>
      </c>
      <c r="G102" s="59">
        <f>SUM(G85:G86,G91,G93,G95,G97,G98)</f>
        <v>864789</v>
      </c>
    </row>
    <row r="103" spans="1:7" x14ac:dyDescent="0.25">
      <c r="A103" s="59" t="s">
        <v>394</v>
      </c>
    </row>
    <row r="104" spans="1:7" x14ac:dyDescent="0.25">
      <c r="A104" s="59" t="s">
        <v>59</v>
      </c>
      <c r="B104" s="59">
        <v>1990</v>
      </c>
      <c r="C104" s="59" t="s">
        <v>189</v>
      </c>
      <c r="F104" s="59">
        <v>13</v>
      </c>
      <c r="G104" s="59">
        <v>1030</v>
      </c>
    </row>
    <row r="105" spans="1:7" x14ac:dyDescent="0.25">
      <c r="A105" s="59" t="s">
        <v>65</v>
      </c>
      <c r="B105" s="59">
        <v>2017</v>
      </c>
      <c r="C105" s="59" t="s">
        <v>154</v>
      </c>
      <c r="F105" s="59">
        <v>1</v>
      </c>
      <c r="G105" s="59">
        <v>506</v>
      </c>
    </row>
    <row r="106" spans="1:7" x14ac:dyDescent="0.25">
      <c r="A106" s="59" t="s">
        <v>134</v>
      </c>
      <c r="B106" s="59">
        <v>1996</v>
      </c>
      <c r="C106" s="59" t="s">
        <v>67</v>
      </c>
      <c r="D106" s="59" t="s">
        <v>253</v>
      </c>
      <c r="F106" s="59">
        <v>13</v>
      </c>
      <c r="G106" s="59">
        <v>706</v>
      </c>
    </row>
    <row r="107" spans="1:7" x14ac:dyDescent="0.25">
      <c r="A107" s="59" t="s">
        <v>135</v>
      </c>
      <c r="B107" s="59">
        <v>2015</v>
      </c>
      <c r="C107" s="59" t="s">
        <v>154</v>
      </c>
      <c r="D107" s="59" t="s">
        <v>396</v>
      </c>
      <c r="F107" s="59">
        <v>18</v>
      </c>
      <c r="G107" s="59">
        <v>530</v>
      </c>
    </row>
    <row r="109" spans="1:7" x14ac:dyDescent="0.25">
      <c r="A109" s="59" t="s">
        <v>70</v>
      </c>
    </row>
    <row r="110" spans="1:7" x14ac:dyDescent="0.25">
      <c r="A110" s="59" t="s">
        <v>10</v>
      </c>
      <c r="B110" s="59" t="s">
        <v>0</v>
      </c>
      <c r="C110" s="59" t="s">
        <v>47</v>
      </c>
      <c r="D110" s="59" t="s">
        <v>48</v>
      </c>
      <c r="E110" s="59" t="s">
        <v>165</v>
      </c>
      <c r="F110" s="59" t="s">
        <v>166</v>
      </c>
    </row>
    <row r="111" spans="1:7" x14ac:dyDescent="0.25">
      <c r="A111" s="59" t="s">
        <v>197</v>
      </c>
      <c r="B111" s="59">
        <v>2016</v>
      </c>
      <c r="C111" s="59" t="s">
        <v>70</v>
      </c>
      <c r="E111" s="59">
        <v>57</v>
      </c>
      <c r="F111" s="59">
        <v>14873</v>
      </c>
    </row>
    <row r="112" spans="1:7" x14ac:dyDescent="0.25">
      <c r="A112" s="59" t="s">
        <v>20</v>
      </c>
      <c r="B112" s="59">
        <v>2012</v>
      </c>
      <c r="C112" s="59" t="s">
        <v>70</v>
      </c>
      <c r="E112" s="59">
        <v>8</v>
      </c>
      <c r="F112" s="59">
        <v>1000</v>
      </c>
    </row>
    <row r="113" spans="1:6" x14ac:dyDescent="0.25">
      <c r="A113" s="59" t="s">
        <v>199</v>
      </c>
      <c r="B113" s="59">
        <v>2016</v>
      </c>
      <c r="C113" s="59" t="s">
        <v>70</v>
      </c>
      <c r="E113" s="59">
        <v>16126</v>
      </c>
      <c r="F113" s="59">
        <v>10040416</v>
      </c>
    </row>
    <row r="114" spans="1:6" x14ac:dyDescent="0.25">
      <c r="A114" s="59" t="s">
        <v>200</v>
      </c>
      <c r="B114" s="59">
        <v>1966</v>
      </c>
      <c r="C114" s="59" t="s">
        <v>70</v>
      </c>
      <c r="E114" s="59">
        <v>75</v>
      </c>
      <c r="F114" s="59">
        <v>24084</v>
      </c>
    </row>
    <row r="115" spans="1:6" x14ac:dyDescent="0.25">
      <c r="A115" s="59" t="s">
        <v>202</v>
      </c>
      <c r="B115" s="59">
        <v>1983</v>
      </c>
      <c r="C115" s="59" t="s">
        <v>70</v>
      </c>
      <c r="D115" s="59" t="s">
        <v>247</v>
      </c>
      <c r="E115" s="59">
        <v>127</v>
      </c>
      <c r="F115" s="59">
        <v>32257</v>
      </c>
    </row>
    <row r="116" spans="1:6" x14ac:dyDescent="0.25">
      <c r="A116" s="59" t="s">
        <v>71</v>
      </c>
      <c r="B116" s="59">
        <v>2006</v>
      </c>
      <c r="C116" s="59" t="s">
        <v>70</v>
      </c>
      <c r="E116" s="59">
        <v>80</v>
      </c>
      <c r="F116" s="59">
        <v>16874</v>
      </c>
    </row>
    <row r="117" spans="1:6" x14ac:dyDescent="0.25">
      <c r="A117" s="59" t="s">
        <v>72</v>
      </c>
      <c r="B117" s="59">
        <v>2006</v>
      </c>
      <c r="C117" s="59" t="s">
        <v>70</v>
      </c>
      <c r="E117" s="59">
        <v>78</v>
      </c>
      <c r="F117" s="59">
        <v>16596</v>
      </c>
    </row>
    <row r="118" spans="1:6" x14ac:dyDescent="0.25">
      <c r="A118" s="59" t="s">
        <v>183</v>
      </c>
      <c r="B118" s="59">
        <v>2014</v>
      </c>
      <c r="C118" s="59" t="s">
        <v>70</v>
      </c>
      <c r="E118" s="59">
        <v>37</v>
      </c>
      <c r="F118" s="59">
        <v>33500</v>
      </c>
    </row>
    <row r="119" spans="1:6" x14ac:dyDescent="0.25">
      <c r="A119" s="59" t="s">
        <v>73</v>
      </c>
      <c r="B119" s="59">
        <v>2014</v>
      </c>
      <c r="C119" s="59" t="s">
        <v>70</v>
      </c>
      <c r="E119" s="59">
        <v>1424</v>
      </c>
      <c r="F119" s="59">
        <v>409473</v>
      </c>
    </row>
    <row r="120" spans="1:6" x14ac:dyDescent="0.25">
      <c r="A120" s="59" t="s">
        <v>74</v>
      </c>
      <c r="B120" s="59">
        <v>2017</v>
      </c>
      <c r="C120" s="59" t="s">
        <v>70</v>
      </c>
      <c r="E120" s="59">
        <v>307</v>
      </c>
      <c r="F120" s="59">
        <v>156130</v>
      </c>
    </row>
    <row r="121" spans="1:6" x14ac:dyDescent="0.25">
      <c r="A121" s="59" t="s">
        <v>209</v>
      </c>
      <c r="B121" s="59">
        <v>2001</v>
      </c>
      <c r="C121" s="59" t="s">
        <v>70</v>
      </c>
      <c r="E121" s="59">
        <v>226</v>
      </c>
      <c r="F121" s="59">
        <v>69139</v>
      </c>
    </row>
    <row r="122" spans="1:6" ht="15.75" customHeight="1" x14ac:dyDescent="0.25">
      <c r="A122" s="59" t="s">
        <v>51</v>
      </c>
      <c r="B122" s="59">
        <v>2004</v>
      </c>
      <c r="C122" s="59" t="s">
        <v>70</v>
      </c>
      <c r="D122" s="59" t="s">
        <v>187</v>
      </c>
      <c r="E122" s="59">
        <v>456</v>
      </c>
      <c r="F122" s="59">
        <v>121227</v>
      </c>
    </row>
    <row r="123" spans="1:6" x14ac:dyDescent="0.25">
      <c r="A123" s="59" t="s">
        <v>134</v>
      </c>
      <c r="B123" s="59">
        <v>1996</v>
      </c>
      <c r="C123" s="59" t="s">
        <v>70</v>
      </c>
      <c r="E123" s="59">
        <v>3</v>
      </c>
      <c r="F123" s="59">
        <v>706</v>
      </c>
    </row>
    <row r="124" spans="1:6" x14ac:dyDescent="0.25">
      <c r="A124" s="59" t="s">
        <v>116</v>
      </c>
      <c r="B124" s="59">
        <v>1981</v>
      </c>
      <c r="C124" s="59" t="s">
        <v>70</v>
      </c>
      <c r="E124" s="59">
        <v>4</v>
      </c>
      <c r="F124" s="59">
        <v>536</v>
      </c>
    </row>
    <row r="125" spans="1:6" x14ac:dyDescent="0.25">
      <c r="A125" s="59" t="s">
        <v>201</v>
      </c>
      <c r="B125" s="59">
        <v>2017</v>
      </c>
      <c r="C125" s="59" t="s">
        <v>70</v>
      </c>
      <c r="E125" s="59">
        <v>10</v>
      </c>
      <c r="F125" s="59">
        <v>1000</v>
      </c>
    </row>
    <row r="126" spans="1:6" x14ac:dyDescent="0.25">
      <c r="A126" s="59" t="s">
        <v>140</v>
      </c>
      <c r="B126" s="59">
        <v>2016</v>
      </c>
      <c r="C126" s="59" t="s">
        <v>70</v>
      </c>
      <c r="E126" s="59">
        <v>23</v>
      </c>
      <c r="F126" s="59">
        <v>5634</v>
      </c>
    </row>
    <row r="127" spans="1:6" x14ac:dyDescent="0.25">
      <c r="A127" s="59" t="s">
        <v>104</v>
      </c>
      <c r="B127" s="59">
        <v>2012</v>
      </c>
      <c r="C127" s="59" t="s">
        <v>70</v>
      </c>
      <c r="E127" s="59">
        <v>15</v>
      </c>
      <c r="F127" s="59">
        <v>10453</v>
      </c>
    </row>
    <row r="128" spans="1:6" x14ac:dyDescent="0.25">
      <c r="A128" s="59" t="s">
        <v>223</v>
      </c>
      <c r="B128" s="59">
        <v>1999</v>
      </c>
      <c r="C128" s="59" t="s">
        <v>70</v>
      </c>
      <c r="E128" s="59">
        <v>87</v>
      </c>
      <c r="F128" s="59">
        <v>36500</v>
      </c>
    </row>
    <row r="129" spans="1:6" x14ac:dyDescent="0.25">
      <c r="A129" s="59" t="s">
        <v>147</v>
      </c>
      <c r="B129" s="59">
        <v>2002</v>
      </c>
      <c r="C129" s="59" t="s">
        <v>70</v>
      </c>
      <c r="E129" s="59">
        <v>77</v>
      </c>
      <c r="F129" s="59">
        <v>32457</v>
      </c>
    </row>
    <row r="130" spans="1:6" x14ac:dyDescent="0.25">
      <c r="A130" s="59" t="s">
        <v>146</v>
      </c>
      <c r="B130" s="59">
        <v>1961</v>
      </c>
      <c r="C130" s="59" t="s">
        <v>70</v>
      </c>
      <c r="E130" s="59">
        <v>54</v>
      </c>
      <c r="F130" s="59">
        <v>48885</v>
      </c>
    </row>
    <row r="131" spans="1:6" x14ac:dyDescent="0.25">
      <c r="A131" s="59" t="s">
        <v>161</v>
      </c>
      <c r="B131" s="59">
        <v>2013</v>
      </c>
      <c r="C131" s="59" t="s">
        <v>70</v>
      </c>
      <c r="E131" s="59">
        <v>5</v>
      </c>
      <c r="F131" s="59">
        <v>200</v>
      </c>
    </row>
    <row r="132" spans="1:6" x14ac:dyDescent="0.25">
      <c r="E132" s="59">
        <f>SUM(E112:E131)</f>
        <v>19222</v>
      </c>
      <c r="F132" s="59">
        <f>SUM(F112:F131)</f>
        <v>11057067</v>
      </c>
    </row>
    <row r="147" spans="1:1" x14ac:dyDescent="0.25">
      <c r="A147" s="31"/>
    </row>
    <row r="151" spans="1:1" x14ac:dyDescent="0.25">
      <c r="A151" s="31"/>
    </row>
    <row r="155" spans="1:1" x14ac:dyDescent="0.25">
      <c r="A155" s="72"/>
    </row>
  </sheetData>
  <sortState ref="A118:F131">
    <sortCondition ref="A118"/>
  </sortState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zoomScale="70" zoomScaleNormal="70" workbookViewId="0">
      <selection activeCell="C54" sqref="C54"/>
    </sheetView>
  </sheetViews>
  <sheetFormatPr defaultRowHeight="15" x14ac:dyDescent="0.25"/>
  <cols>
    <col min="1" max="1" width="12.28515625" style="59" customWidth="1"/>
    <col min="2" max="2" width="9.140625" style="59"/>
    <col min="3" max="3" width="41.5703125" style="59" customWidth="1"/>
    <col min="4" max="4" width="21" style="59" customWidth="1"/>
    <col min="5" max="5" width="25.28515625" style="59" customWidth="1"/>
    <col min="6" max="6" width="24" style="59" customWidth="1"/>
    <col min="7" max="7" width="20.7109375" style="59" customWidth="1"/>
    <col min="8" max="8" width="18.5703125" style="59" customWidth="1"/>
    <col min="9" max="16384" width="9.140625" style="59"/>
  </cols>
  <sheetData>
    <row r="2" spans="1:10" ht="15.75" x14ac:dyDescent="0.25">
      <c r="A2" s="74" t="s">
        <v>49</v>
      </c>
    </row>
    <row r="3" spans="1:10" x14ac:dyDescent="0.25">
      <c r="A3" s="59" t="s">
        <v>10</v>
      </c>
      <c r="B3" s="59" t="s">
        <v>0</v>
      </c>
      <c r="C3" s="59" t="s">
        <v>7</v>
      </c>
      <c r="D3" s="59" t="s">
        <v>76</v>
      </c>
      <c r="E3" s="59" t="s">
        <v>8</v>
      </c>
      <c r="F3" s="59" t="s">
        <v>9</v>
      </c>
      <c r="G3" s="59" t="s">
        <v>5</v>
      </c>
      <c r="H3" s="59" t="s">
        <v>6</v>
      </c>
      <c r="J3" s="59" t="s">
        <v>301</v>
      </c>
    </row>
    <row r="4" spans="1:10" x14ac:dyDescent="0.25">
      <c r="A4" s="59" t="s">
        <v>197</v>
      </c>
      <c r="B4" s="59">
        <v>2016</v>
      </c>
      <c r="C4" s="59" t="s">
        <v>12</v>
      </c>
      <c r="D4" s="59" t="s">
        <v>80</v>
      </c>
      <c r="E4" s="59">
        <v>14</v>
      </c>
      <c r="F4" s="59">
        <v>384</v>
      </c>
      <c r="G4" s="59">
        <v>379</v>
      </c>
      <c r="H4" s="59">
        <v>14968</v>
      </c>
    </row>
    <row r="5" spans="1:10" x14ac:dyDescent="0.25">
      <c r="A5" s="59" t="s">
        <v>197</v>
      </c>
      <c r="B5" s="59">
        <v>2016</v>
      </c>
      <c r="C5" s="59" t="s">
        <v>13</v>
      </c>
      <c r="D5" s="59" t="s">
        <v>80</v>
      </c>
      <c r="E5" s="59">
        <v>57</v>
      </c>
      <c r="F5" s="59">
        <v>1251</v>
      </c>
      <c r="G5" s="59">
        <v>379</v>
      </c>
      <c r="H5" s="59">
        <v>14968</v>
      </c>
    </row>
    <row r="6" spans="1:10" x14ac:dyDescent="0.25">
      <c r="A6" s="59" t="s">
        <v>197</v>
      </c>
      <c r="B6" s="59">
        <v>2016</v>
      </c>
      <c r="C6" s="59" t="s">
        <v>14</v>
      </c>
      <c r="D6" s="59" t="s">
        <v>80</v>
      </c>
      <c r="E6" s="59">
        <v>28</v>
      </c>
      <c r="F6" s="59">
        <v>1116</v>
      </c>
      <c r="G6" s="59">
        <v>379</v>
      </c>
      <c r="H6" s="59">
        <v>14968</v>
      </c>
    </row>
    <row r="7" spans="1:10" x14ac:dyDescent="0.25">
      <c r="A7" s="59" t="s">
        <v>197</v>
      </c>
      <c r="B7" s="59">
        <v>2016</v>
      </c>
      <c r="C7" s="59" t="s">
        <v>15</v>
      </c>
      <c r="D7" s="59" t="s">
        <v>80</v>
      </c>
      <c r="E7" s="59">
        <v>33</v>
      </c>
      <c r="F7" s="59">
        <v>1912</v>
      </c>
      <c r="G7" s="59">
        <v>379</v>
      </c>
      <c r="H7" s="59">
        <v>14968</v>
      </c>
    </row>
    <row r="8" spans="1:10" x14ac:dyDescent="0.25">
      <c r="A8" s="59" t="s">
        <v>197</v>
      </c>
      <c r="B8" s="59">
        <v>2016</v>
      </c>
      <c r="C8" s="59" t="s">
        <v>16</v>
      </c>
      <c r="D8" s="59" t="s">
        <v>80</v>
      </c>
      <c r="E8" s="59">
        <v>1</v>
      </c>
      <c r="F8" s="59">
        <v>18</v>
      </c>
      <c r="G8" s="59">
        <v>379</v>
      </c>
      <c r="H8" s="59">
        <v>14968</v>
      </c>
    </row>
    <row r="9" spans="1:10" x14ac:dyDescent="0.25">
      <c r="A9" s="59" t="s">
        <v>197</v>
      </c>
      <c r="B9" s="59">
        <v>2016</v>
      </c>
      <c r="C9" s="59" t="s">
        <v>17</v>
      </c>
      <c r="D9" s="59" t="s">
        <v>80</v>
      </c>
      <c r="E9" s="59">
        <v>1</v>
      </c>
      <c r="F9" s="59">
        <v>57</v>
      </c>
      <c r="G9" s="59">
        <v>379</v>
      </c>
      <c r="H9" s="59">
        <v>14968</v>
      </c>
    </row>
    <row r="10" spans="1:10" x14ac:dyDescent="0.25">
      <c r="A10" s="59" t="s">
        <v>197</v>
      </c>
      <c r="B10" s="59">
        <v>2016</v>
      </c>
      <c r="C10" s="59" t="s">
        <v>193</v>
      </c>
      <c r="D10" s="59" t="s">
        <v>80</v>
      </c>
      <c r="E10" s="59">
        <v>4</v>
      </c>
      <c r="F10" s="59">
        <v>74</v>
      </c>
      <c r="G10" s="59">
        <v>379</v>
      </c>
      <c r="H10" s="59">
        <v>14968</v>
      </c>
    </row>
    <row r="11" spans="1:10" x14ac:dyDescent="0.25">
      <c r="A11" s="59" t="s">
        <v>20</v>
      </c>
      <c r="B11" s="59">
        <v>2012</v>
      </c>
      <c r="C11" s="59" t="s">
        <v>21</v>
      </c>
      <c r="D11" s="59" t="s">
        <v>81</v>
      </c>
      <c r="E11" s="59">
        <v>13</v>
      </c>
      <c r="F11" s="59">
        <v>247</v>
      </c>
      <c r="G11" s="59">
        <v>53</v>
      </c>
      <c r="H11" s="59">
        <v>1000</v>
      </c>
    </row>
    <row r="12" spans="1:10" x14ac:dyDescent="0.25">
      <c r="A12" s="59" t="s">
        <v>20</v>
      </c>
      <c r="B12" s="59">
        <v>2012</v>
      </c>
      <c r="C12" s="59" t="s">
        <v>22</v>
      </c>
      <c r="D12" s="59" t="s">
        <v>81</v>
      </c>
      <c r="E12" s="59">
        <v>40</v>
      </c>
      <c r="F12" s="59">
        <v>752</v>
      </c>
      <c r="G12" s="59">
        <v>53</v>
      </c>
      <c r="H12" s="59">
        <v>1000</v>
      </c>
    </row>
    <row r="13" spans="1:10" x14ac:dyDescent="0.25">
      <c r="A13" s="59" t="s">
        <v>93</v>
      </c>
      <c r="B13" s="59">
        <v>2018</v>
      </c>
      <c r="C13" s="59" t="s">
        <v>96</v>
      </c>
      <c r="D13" s="59" t="s">
        <v>95</v>
      </c>
      <c r="E13" s="59">
        <v>5039</v>
      </c>
      <c r="F13" s="59">
        <v>78449</v>
      </c>
      <c r="G13" s="59">
        <f>(5039+65525)</f>
        <v>70564</v>
      </c>
      <c r="H13" s="59">
        <f>(718181+78449)</f>
        <v>796630</v>
      </c>
      <c r="I13" s="59" t="s">
        <v>251</v>
      </c>
    </row>
    <row r="14" spans="1:10" x14ac:dyDescent="0.25">
      <c r="A14" s="59" t="s">
        <v>93</v>
      </c>
      <c r="B14" s="59">
        <v>2018</v>
      </c>
      <c r="C14" s="59" t="s">
        <v>83</v>
      </c>
      <c r="D14" s="59" t="s">
        <v>95</v>
      </c>
      <c r="E14" s="59">
        <v>4737</v>
      </c>
      <c r="F14" s="59">
        <f>4737+68379</f>
        <v>73116</v>
      </c>
      <c r="G14" s="59">
        <v>69062</v>
      </c>
      <c r="H14" s="59">
        <f>(69062+728034)</f>
        <v>797096</v>
      </c>
      <c r="I14" s="59" t="s">
        <v>252</v>
      </c>
    </row>
    <row r="15" spans="1:10" x14ac:dyDescent="0.25">
      <c r="A15" s="59" t="s">
        <v>93</v>
      </c>
      <c r="B15" s="59">
        <v>2018</v>
      </c>
      <c r="C15" s="59" t="s">
        <v>12</v>
      </c>
      <c r="D15" s="59" t="s">
        <v>95</v>
      </c>
      <c r="E15" s="59">
        <v>5978</v>
      </c>
      <c r="F15" s="59">
        <f>55735+5978</f>
        <v>61713</v>
      </c>
      <c r="G15" s="59">
        <v>69062</v>
      </c>
      <c r="H15" s="59">
        <f>728034+69062</f>
        <v>797096</v>
      </c>
      <c r="I15" s="59" t="s">
        <v>252</v>
      </c>
    </row>
    <row r="16" spans="1:10" x14ac:dyDescent="0.25">
      <c r="A16" s="59" t="s">
        <v>93</v>
      </c>
      <c r="B16" s="59">
        <v>2018</v>
      </c>
      <c r="C16" s="59" t="s">
        <v>16</v>
      </c>
      <c r="D16" s="59" t="s">
        <v>95</v>
      </c>
      <c r="E16" s="59">
        <v>501</v>
      </c>
      <c r="F16" s="59">
        <f>2363+501</f>
        <v>2864</v>
      </c>
      <c r="G16" s="59">
        <v>69062</v>
      </c>
      <c r="H16" s="59">
        <f>728034+69062</f>
        <v>797096</v>
      </c>
      <c r="I16" s="59" t="s">
        <v>252</v>
      </c>
    </row>
    <row r="17" spans="1:9" x14ac:dyDescent="0.25">
      <c r="A17" s="59" t="s">
        <v>93</v>
      </c>
      <c r="B17" s="59">
        <v>2018</v>
      </c>
      <c r="C17" s="59" t="s">
        <v>97</v>
      </c>
      <c r="D17" s="59" t="s">
        <v>95</v>
      </c>
      <c r="E17" s="59">
        <v>3957</v>
      </c>
      <c r="F17" s="59">
        <v>42510</v>
      </c>
      <c r="G17" s="59">
        <v>69062</v>
      </c>
      <c r="H17" s="59">
        <f>754586+42510</f>
        <v>797096</v>
      </c>
      <c r="I17" s="59" t="s">
        <v>252</v>
      </c>
    </row>
    <row r="18" spans="1:9" x14ac:dyDescent="0.25">
      <c r="A18" s="59" t="s">
        <v>93</v>
      </c>
      <c r="B18" s="59">
        <v>2018</v>
      </c>
      <c r="C18" s="59" t="s">
        <v>98</v>
      </c>
      <c r="D18" s="59" t="s">
        <v>95</v>
      </c>
      <c r="E18" s="59">
        <v>2248</v>
      </c>
      <c r="F18" s="59">
        <v>21837</v>
      </c>
      <c r="G18" s="59">
        <v>69062</v>
      </c>
      <c r="H18" s="59">
        <f>775709+21387</f>
        <v>797096</v>
      </c>
      <c r="I18" s="59" t="s">
        <v>252</v>
      </c>
    </row>
    <row r="19" spans="1:9" x14ac:dyDescent="0.25">
      <c r="A19" s="59" t="s">
        <v>201</v>
      </c>
      <c r="B19" s="59">
        <v>2017</v>
      </c>
      <c r="C19" s="59" t="s">
        <v>164</v>
      </c>
      <c r="D19" s="59" t="s">
        <v>81</v>
      </c>
      <c r="E19" s="59">
        <v>6</v>
      </c>
      <c r="F19" s="59">
        <v>58</v>
      </c>
      <c r="G19" s="59">
        <v>16</v>
      </c>
      <c r="H19" s="59">
        <v>920</v>
      </c>
    </row>
    <row r="20" spans="1:9" x14ac:dyDescent="0.25">
      <c r="A20" s="59" t="s">
        <v>201</v>
      </c>
      <c r="B20" s="59">
        <v>2017</v>
      </c>
      <c r="C20" s="59" t="s">
        <v>296</v>
      </c>
      <c r="D20" s="59" t="s">
        <v>81</v>
      </c>
      <c r="E20" s="59">
        <v>38</v>
      </c>
      <c r="F20" s="59">
        <v>26</v>
      </c>
      <c r="G20" s="59">
        <v>196</v>
      </c>
      <c r="H20" s="59">
        <v>740</v>
      </c>
    </row>
    <row r="21" spans="1:9" x14ac:dyDescent="0.25">
      <c r="A21" s="59" t="s">
        <v>104</v>
      </c>
      <c r="B21" s="59">
        <v>2012</v>
      </c>
      <c r="C21" s="59" t="s">
        <v>263</v>
      </c>
      <c r="D21" s="59" t="s">
        <v>265</v>
      </c>
      <c r="E21" s="59">
        <v>1</v>
      </c>
      <c r="F21" s="59">
        <v>27</v>
      </c>
      <c r="G21" s="59">
        <v>548</v>
      </c>
      <c r="H21" s="59">
        <v>10453</v>
      </c>
    </row>
    <row r="22" spans="1:9" x14ac:dyDescent="0.25">
      <c r="A22" s="59" t="s">
        <v>104</v>
      </c>
      <c r="B22" s="59">
        <v>2012</v>
      </c>
      <c r="C22" s="59" t="s">
        <v>264</v>
      </c>
      <c r="D22" s="59" t="s">
        <v>265</v>
      </c>
      <c r="E22" s="59">
        <v>14</v>
      </c>
      <c r="F22" s="59">
        <v>157</v>
      </c>
      <c r="G22" s="59">
        <v>548</v>
      </c>
      <c r="H22" s="59">
        <v>10453</v>
      </c>
    </row>
    <row r="23" spans="1:9" x14ac:dyDescent="0.25">
      <c r="A23" s="59" t="s">
        <v>104</v>
      </c>
      <c r="B23" s="59">
        <v>2012</v>
      </c>
      <c r="C23" s="59" t="s">
        <v>35</v>
      </c>
      <c r="D23" s="59" t="s">
        <v>265</v>
      </c>
      <c r="E23" s="59">
        <v>42</v>
      </c>
      <c r="F23" s="59">
        <v>892</v>
      </c>
      <c r="G23" s="59">
        <v>548</v>
      </c>
      <c r="H23" s="59">
        <v>10453</v>
      </c>
    </row>
    <row r="24" spans="1:9" x14ac:dyDescent="0.25">
      <c r="A24" s="59" t="s">
        <v>104</v>
      </c>
      <c r="B24" s="59">
        <v>2012</v>
      </c>
      <c r="C24" s="59" t="s">
        <v>16</v>
      </c>
      <c r="D24" s="59" t="s">
        <v>265</v>
      </c>
      <c r="E24" s="59">
        <v>0</v>
      </c>
      <c r="F24" s="59">
        <v>5</v>
      </c>
      <c r="G24" s="59">
        <v>548</v>
      </c>
      <c r="H24" s="59">
        <v>10453</v>
      </c>
    </row>
    <row r="25" spans="1:9" x14ac:dyDescent="0.25">
      <c r="A25" s="59" t="s">
        <v>161</v>
      </c>
      <c r="B25" s="59">
        <v>2013</v>
      </c>
      <c r="C25" s="59" t="s">
        <v>268</v>
      </c>
      <c r="D25" s="59" t="s">
        <v>269</v>
      </c>
      <c r="E25" s="59">
        <v>22</v>
      </c>
      <c r="F25" s="59">
        <v>55</v>
      </c>
      <c r="G25" s="59">
        <v>80</v>
      </c>
      <c r="H25" s="59">
        <v>200</v>
      </c>
    </row>
    <row r="27" spans="1:9" x14ac:dyDescent="0.25">
      <c r="A27" s="59" t="s">
        <v>297</v>
      </c>
    </row>
    <row r="28" spans="1:9" x14ac:dyDescent="0.25">
      <c r="A28" s="59" t="s">
        <v>197</v>
      </c>
      <c r="B28" s="59">
        <v>2016</v>
      </c>
      <c r="C28" s="59" t="s">
        <v>12</v>
      </c>
      <c r="E28" s="59">
        <v>59</v>
      </c>
      <c r="F28" s="59">
        <v>384</v>
      </c>
      <c r="G28" s="59">
        <v>987</v>
      </c>
      <c r="H28" s="59">
        <v>14968</v>
      </c>
    </row>
    <row r="29" spans="1:9" x14ac:dyDescent="0.25">
      <c r="A29" s="59" t="s">
        <v>197</v>
      </c>
      <c r="B29" s="59">
        <v>2016</v>
      </c>
      <c r="C29" s="59" t="s">
        <v>13</v>
      </c>
      <c r="E29" s="59">
        <v>123</v>
      </c>
      <c r="F29" s="59">
        <v>1251</v>
      </c>
      <c r="G29" s="59">
        <v>987</v>
      </c>
      <c r="H29" s="59">
        <v>14968</v>
      </c>
    </row>
    <row r="30" spans="1:9" x14ac:dyDescent="0.25">
      <c r="A30" s="59" t="s">
        <v>197</v>
      </c>
      <c r="B30" s="59">
        <v>2016</v>
      </c>
      <c r="C30" s="59" t="s">
        <v>14</v>
      </c>
      <c r="E30" s="59">
        <v>76</v>
      </c>
      <c r="F30" s="59">
        <v>1116</v>
      </c>
      <c r="G30" s="59">
        <v>987</v>
      </c>
      <c r="H30" s="59">
        <v>14968</v>
      </c>
    </row>
    <row r="31" spans="1:9" x14ac:dyDescent="0.25">
      <c r="A31" s="59" t="s">
        <v>197</v>
      </c>
      <c r="B31" s="59">
        <v>2016</v>
      </c>
      <c r="C31" s="59" t="s">
        <v>79</v>
      </c>
      <c r="E31" s="59">
        <v>216</v>
      </c>
      <c r="F31" s="59">
        <v>1912</v>
      </c>
      <c r="G31" s="59">
        <v>987</v>
      </c>
      <c r="H31" s="59">
        <v>14968</v>
      </c>
    </row>
    <row r="32" spans="1:9" x14ac:dyDescent="0.25">
      <c r="A32" s="59" t="s">
        <v>197</v>
      </c>
      <c r="B32" s="59">
        <v>2016</v>
      </c>
      <c r="C32" s="59" t="s">
        <v>16</v>
      </c>
      <c r="E32" s="59">
        <v>5</v>
      </c>
      <c r="F32" s="59">
        <v>18</v>
      </c>
      <c r="G32" s="59">
        <v>987</v>
      </c>
      <c r="H32" s="59">
        <v>14968</v>
      </c>
    </row>
    <row r="33" spans="1:9" x14ac:dyDescent="0.25">
      <c r="A33" s="59" t="s">
        <v>197</v>
      </c>
      <c r="B33" s="59">
        <v>2016</v>
      </c>
      <c r="C33" s="59" t="s">
        <v>17</v>
      </c>
      <c r="E33" s="59">
        <v>0</v>
      </c>
      <c r="F33" s="59">
        <v>57</v>
      </c>
      <c r="G33" s="59">
        <v>987</v>
      </c>
      <c r="H33" s="59">
        <v>14968</v>
      </c>
    </row>
    <row r="34" spans="1:9" x14ac:dyDescent="0.25">
      <c r="A34" s="59" t="s">
        <v>197</v>
      </c>
      <c r="B34" s="59">
        <v>2016</v>
      </c>
      <c r="C34" s="59" t="s">
        <v>193</v>
      </c>
      <c r="E34" s="59">
        <v>3</v>
      </c>
      <c r="F34" s="59">
        <v>74</v>
      </c>
      <c r="G34" s="59">
        <v>987</v>
      </c>
      <c r="H34" s="59">
        <v>14968</v>
      </c>
    </row>
    <row r="35" spans="1:9" x14ac:dyDescent="0.25">
      <c r="A35" s="59" t="s">
        <v>20</v>
      </c>
      <c r="B35" s="59">
        <v>2012</v>
      </c>
      <c r="C35" s="59" t="s">
        <v>21</v>
      </c>
      <c r="D35" s="59" t="s">
        <v>82</v>
      </c>
      <c r="E35" s="59">
        <v>24</v>
      </c>
      <c r="F35" s="59">
        <v>247</v>
      </c>
      <c r="G35" s="59">
        <v>59</v>
      </c>
      <c r="H35" s="59">
        <v>1000</v>
      </c>
    </row>
    <row r="36" spans="1:9" x14ac:dyDescent="0.25">
      <c r="A36" s="59" t="s">
        <v>20</v>
      </c>
      <c r="B36" s="59">
        <v>2012</v>
      </c>
      <c r="C36" s="59" t="s">
        <v>22</v>
      </c>
      <c r="D36" s="59" t="s">
        <v>82</v>
      </c>
      <c r="E36" s="59">
        <v>34</v>
      </c>
      <c r="F36" s="59">
        <v>752</v>
      </c>
      <c r="G36" s="59">
        <v>59</v>
      </c>
      <c r="H36" s="59">
        <v>1000</v>
      </c>
    </row>
    <row r="37" spans="1:9" x14ac:dyDescent="0.25">
      <c r="A37" s="59" t="s">
        <v>93</v>
      </c>
      <c r="B37" s="59">
        <v>2018</v>
      </c>
      <c r="C37" s="59" t="s">
        <v>96</v>
      </c>
      <c r="D37" s="59" t="s">
        <v>94</v>
      </c>
      <c r="E37" s="59">
        <v>11842</v>
      </c>
      <c r="F37" s="59">
        <v>78449</v>
      </c>
      <c r="G37" s="59">
        <v>69211</v>
      </c>
      <c r="H37" s="59">
        <f>718181+78449</f>
        <v>796630</v>
      </c>
      <c r="I37" s="59" t="s">
        <v>251</v>
      </c>
    </row>
    <row r="38" spans="1:9" x14ac:dyDescent="0.25">
      <c r="A38" s="59" t="s">
        <v>93</v>
      </c>
      <c r="B38" s="59">
        <v>2018</v>
      </c>
      <c r="C38" s="59" t="s">
        <v>83</v>
      </c>
      <c r="D38" s="59" t="s">
        <v>94</v>
      </c>
      <c r="E38" s="59">
        <v>9961</v>
      </c>
      <c r="F38" s="59">
        <f>63155+9961</f>
        <v>73116</v>
      </c>
      <c r="G38" s="59">
        <v>69211</v>
      </c>
      <c r="H38" s="59">
        <f>727885+69211</f>
        <v>797096</v>
      </c>
      <c r="I38" s="59" t="s">
        <v>252</v>
      </c>
    </row>
    <row r="39" spans="1:9" x14ac:dyDescent="0.25">
      <c r="A39" s="59" t="s">
        <v>93</v>
      </c>
      <c r="B39" s="59">
        <v>2018</v>
      </c>
      <c r="C39" s="59" t="s">
        <v>12</v>
      </c>
      <c r="D39" s="59" t="s">
        <v>94</v>
      </c>
      <c r="E39" s="59">
        <v>5847</v>
      </c>
      <c r="F39" s="59">
        <f>55866+5847</f>
        <v>61713</v>
      </c>
      <c r="G39" s="59">
        <v>69211</v>
      </c>
      <c r="H39" s="59">
        <f>727885+69211</f>
        <v>797096</v>
      </c>
      <c r="I39" s="59" t="s">
        <v>252</v>
      </c>
    </row>
    <row r="40" spans="1:9" x14ac:dyDescent="0.25">
      <c r="A40" s="59" t="s">
        <v>93</v>
      </c>
      <c r="B40" s="59">
        <v>2018</v>
      </c>
      <c r="C40" s="59" t="s">
        <v>16</v>
      </c>
      <c r="D40" s="59" t="s">
        <v>94</v>
      </c>
      <c r="E40" s="59">
        <v>325</v>
      </c>
      <c r="F40" s="59">
        <f>2539+325</f>
        <v>2864</v>
      </c>
      <c r="G40" s="59">
        <v>69211</v>
      </c>
      <c r="H40" s="59">
        <f>727885+69211</f>
        <v>797096</v>
      </c>
      <c r="I40" s="59" t="s">
        <v>252</v>
      </c>
    </row>
    <row r="41" spans="1:9" x14ac:dyDescent="0.25">
      <c r="A41" s="59" t="s">
        <v>93</v>
      </c>
      <c r="B41" s="59">
        <v>2018</v>
      </c>
      <c r="C41" s="59" t="s">
        <v>97</v>
      </c>
      <c r="D41" s="59" t="s">
        <v>94</v>
      </c>
      <c r="E41" s="59">
        <v>3287</v>
      </c>
      <c r="F41" s="59">
        <f>39223+3287</f>
        <v>42510</v>
      </c>
      <c r="G41" s="59">
        <v>69211</v>
      </c>
      <c r="H41" s="59">
        <f>727885+69211</f>
        <v>797096</v>
      </c>
      <c r="I41" s="59" t="s">
        <v>252</v>
      </c>
    </row>
    <row r="42" spans="1:9" x14ac:dyDescent="0.25">
      <c r="A42" s="59" t="s">
        <v>93</v>
      </c>
      <c r="B42" s="59">
        <v>2018</v>
      </c>
      <c r="C42" s="59" t="s">
        <v>98</v>
      </c>
      <c r="D42" s="59" t="s">
        <v>94</v>
      </c>
      <c r="E42" s="59">
        <v>2186</v>
      </c>
      <c r="F42" s="59">
        <f>19201+2186</f>
        <v>21387</v>
      </c>
      <c r="G42" s="59">
        <v>69211</v>
      </c>
      <c r="H42" s="59">
        <f>727885+69211</f>
        <v>797096</v>
      </c>
      <c r="I42" s="59" t="s">
        <v>252</v>
      </c>
    </row>
    <row r="43" spans="1:9" x14ac:dyDescent="0.25">
      <c r="A43" s="59" t="s">
        <v>201</v>
      </c>
      <c r="B43" s="59">
        <v>2017</v>
      </c>
      <c r="C43" s="59" t="s">
        <v>164</v>
      </c>
      <c r="D43" s="59" t="s">
        <v>298</v>
      </c>
      <c r="E43" s="59">
        <v>4</v>
      </c>
      <c r="F43" s="59">
        <v>68</v>
      </c>
      <c r="G43" s="59">
        <v>18</v>
      </c>
      <c r="H43" s="59">
        <v>910</v>
      </c>
    </row>
    <row r="44" spans="1:9" x14ac:dyDescent="0.25">
      <c r="A44" s="59" t="s">
        <v>201</v>
      </c>
      <c r="B44" s="59">
        <v>2017</v>
      </c>
      <c r="C44" s="59" t="s">
        <v>296</v>
      </c>
      <c r="D44" s="59" t="s">
        <v>298</v>
      </c>
      <c r="E44" s="59">
        <v>24</v>
      </c>
      <c r="F44" s="59">
        <v>48</v>
      </c>
      <c r="G44" s="59">
        <v>210</v>
      </c>
      <c r="H44" s="59">
        <v>718</v>
      </c>
    </row>
    <row r="45" spans="1:9" x14ac:dyDescent="0.25">
      <c r="A45" s="59" t="s">
        <v>104</v>
      </c>
      <c r="B45" s="59">
        <v>2012</v>
      </c>
      <c r="C45" s="59" t="s">
        <v>263</v>
      </c>
      <c r="D45" s="59" t="s">
        <v>266</v>
      </c>
      <c r="E45" s="59">
        <v>68</v>
      </c>
      <c r="F45" s="59">
        <v>27</v>
      </c>
      <c r="G45" s="59">
        <v>96</v>
      </c>
      <c r="H45" s="59">
        <v>10453</v>
      </c>
    </row>
    <row r="46" spans="1:9" x14ac:dyDescent="0.25">
      <c r="A46" s="59" t="s">
        <v>104</v>
      </c>
      <c r="B46" s="59">
        <v>2012</v>
      </c>
      <c r="C46" s="59" t="s">
        <v>264</v>
      </c>
      <c r="D46" s="59" t="s">
        <v>266</v>
      </c>
      <c r="E46" s="59">
        <v>1</v>
      </c>
      <c r="F46" s="59">
        <v>157</v>
      </c>
      <c r="G46" s="59">
        <v>96</v>
      </c>
      <c r="H46" s="59">
        <v>10453</v>
      </c>
    </row>
    <row r="47" spans="1:9" x14ac:dyDescent="0.25">
      <c r="A47" s="59" t="s">
        <v>104</v>
      </c>
      <c r="B47" s="59">
        <v>2012</v>
      </c>
      <c r="C47" s="59" t="s">
        <v>35</v>
      </c>
      <c r="D47" s="59" t="s">
        <v>266</v>
      </c>
      <c r="E47" s="59">
        <v>12</v>
      </c>
      <c r="F47" s="59">
        <v>892</v>
      </c>
      <c r="G47" s="59">
        <v>96</v>
      </c>
      <c r="H47" s="59">
        <v>10453</v>
      </c>
    </row>
    <row r="48" spans="1:9" x14ac:dyDescent="0.25">
      <c r="A48" s="59" t="s">
        <v>104</v>
      </c>
      <c r="B48" s="59">
        <v>2012</v>
      </c>
      <c r="C48" s="59" t="s">
        <v>16</v>
      </c>
      <c r="D48" s="59" t="s">
        <v>266</v>
      </c>
      <c r="E48" s="59">
        <v>0</v>
      </c>
      <c r="F48" s="59">
        <v>5</v>
      </c>
      <c r="G48" s="59">
        <v>96</v>
      </c>
      <c r="H48" s="59">
        <v>10453</v>
      </c>
    </row>
    <row r="49" spans="1:8" x14ac:dyDescent="0.25">
      <c r="A49" s="59" t="s">
        <v>161</v>
      </c>
      <c r="B49" s="59">
        <v>2013</v>
      </c>
      <c r="C49" s="59" t="s">
        <v>268</v>
      </c>
      <c r="D49" s="59" t="s">
        <v>270</v>
      </c>
      <c r="E49" s="59">
        <v>5</v>
      </c>
      <c r="F49" s="59">
        <v>55</v>
      </c>
      <c r="G49" s="59">
        <v>20</v>
      </c>
      <c r="H49" s="59">
        <v>200</v>
      </c>
    </row>
    <row r="50" spans="1:8" x14ac:dyDescent="0.25">
      <c r="A50" s="59" t="s">
        <v>107</v>
      </c>
      <c r="B50" s="59">
        <v>2016</v>
      </c>
      <c r="C50" s="59" t="s">
        <v>79</v>
      </c>
      <c r="D50" s="59" t="s">
        <v>274</v>
      </c>
      <c r="E50" s="59">
        <v>560</v>
      </c>
      <c r="F50" s="59">
        <v>3004</v>
      </c>
      <c r="G50" s="59">
        <v>3150</v>
      </c>
      <c r="H50" s="59">
        <v>19543</v>
      </c>
    </row>
    <row r="51" spans="1:8" x14ac:dyDescent="0.25">
      <c r="A51" s="59" t="s">
        <v>107</v>
      </c>
      <c r="B51" s="59">
        <v>2016</v>
      </c>
      <c r="C51" s="59" t="s">
        <v>35</v>
      </c>
      <c r="D51" s="59" t="s">
        <v>274</v>
      </c>
      <c r="E51" s="59">
        <v>424</v>
      </c>
      <c r="F51" s="59">
        <v>2021</v>
      </c>
      <c r="G51" s="59">
        <v>3150</v>
      </c>
      <c r="H51" s="59">
        <v>19543</v>
      </c>
    </row>
    <row r="52" spans="1:8" x14ac:dyDescent="0.25">
      <c r="A52" s="59" t="s">
        <v>107</v>
      </c>
      <c r="B52" s="59">
        <v>2016</v>
      </c>
      <c r="C52" s="59" t="s">
        <v>273</v>
      </c>
      <c r="D52" s="59" t="s">
        <v>274</v>
      </c>
      <c r="E52" s="59">
        <v>30</v>
      </c>
      <c r="F52" s="59">
        <v>136</v>
      </c>
      <c r="G52" s="59">
        <v>3150</v>
      </c>
      <c r="H52" s="59">
        <v>19543</v>
      </c>
    </row>
    <row r="55" spans="1:8" x14ac:dyDescent="0.25">
      <c r="A55" s="59" t="s">
        <v>34</v>
      </c>
    </row>
    <row r="56" spans="1:8" x14ac:dyDescent="0.25">
      <c r="A56" s="59" t="s">
        <v>93</v>
      </c>
      <c r="B56" s="59">
        <v>2018</v>
      </c>
      <c r="C56" s="59" t="s">
        <v>25</v>
      </c>
      <c r="D56" s="59" t="s">
        <v>282</v>
      </c>
      <c r="E56" s="59">
        <v>6695</v>
      </c>
      <c r="F56" s="59">
        <v>46779</v>
      </c>
      <c r="G56" s="59">
        <v>176957</v>
      </c>
      <c r="H56" s="59">
        <v>856300</v>
      </c>
    </row>
    <row r="57" spans="1:8" x14ac:dyDescent="0.25">
      <c r="A57" s="59" t="s">
        <v>93</v>
      </c>
      <c r="B57" s="59">
        <v>2018</v>
      </c>
      <c r="C57" s="59" t="s">
        <v>26</v>
      </c>
      <c r="D57" s="59" t="s">
        <v>282</v>
      </c>
      <c r="E57" s="59">
        <v>9880</v>
      </c>
      <c r="F57" s="59">
        <v>78817</v>
      </c>
      <c r="G57" s="59">
        <v>176957</v>
      </c>
      <c r="H57" s="59">
        <v>856300</v>
      </c>
    </row>
    <row r="58" spans="1:8" x14ac:dyDescent="0.25">
      <c r="A58" s="59" t="s">
        <v>93</v>
      </c>
      <c r="B58" s="59">
        <v>2018</v>
      </c>
      <c r="C58" s="59" t="s">
        <v>27</v>
      </c>
      <c r="D58" s="59" t="s">
        <v>282</v>
      </c>
      <c r="E58" s="59">
        <v>14127</v>
      </c>
      <c r="F58" s="59">
        <v>128876</v>
      </c>
      <c r="G58" s="59">
        <v>176957</v>
      </c>
      <c r="H58" s="59">
        <v>856300</v>
      </c>
    </row>
    <row r="59" spans="1:8" x14ac:dyDescent="0.25">
      <c r="A59" s="59" t="s">
        <v>93</v>
      </c>
      <c r="B59" s="59">
        <v>2018</v>
      </c>
      <c r="C59" s="59" t="s">
        <v>84</v>
      </c>
      <c r="D59" s="59" t="s">
        <v>282</v>
      </c>
      <c r="E59" s="59">
        <v>530</v>
      </c>
      <c r="F59" s="59">
        <v>1691</v>
      </c>
      <c r="G59" s="59">
        <v>176957</v>
      </c>
      <c r="H59" s="59">
        <v>856300</v>
      </c>
    </row>
    <row r="60" spans="1:8" x14ac:dyDescent="0.25">
      <c r="A60" s="59" t="s">
        <v>93</v>
      </c>
      <c r="B60" s="59">
        <v>2018</v>
      </c>
      <c r="C60" s="59" t="s">
        <v>28</v>
      </c>
      <c r="D60" s="59" t="s">
        <v>282</v>
      </c>
      <c r="E60" s="59">
        <v>370</v>
      </c>
      <c r="F60" s="59">
        <v>2784</v>
      </c>
      <c r="G60" s="59">
        <v>6695</v>
      </c>
      <c r="H60" s="59">
        <v>856300</v>
      </c>
    </row>
    <row r="61" spans="1:8" x14ac:dyDescent="0.25">
      <c r="A61" s="59" t="s">
        <v>93</v>
      </c>
      <c r="B61" s="59">
        <v>2018</v>
      </c>
      <c r="C61" s="59" t="s">
        <v>29</v>
      </c>
      <c r="D61" s="59" t="s">
        <v>282</v>
      </c>
      <c r="E61" s="59">
        <v>437</v>
      </c>
      <c r="F61" s="59">
        <v>1299</v>
      </c>
      <c r="G61" s="59">
        <v>170262</v>
      </c>
      <c r="H61" s="59">
        <v>856300</v>
      </c>
    </row>
    <row r="62" spans="1:8" x14ac:dyDescent="0.25">
      <c r="A62" s="59" t="s">
        <v>93</v>
      </c>
      <c r="B62" s="59">
        <v>2018</v>
      </c>
      <c r="C62" s="59" t="s">
        <v>85</v>
      </c>
      <c r="D62" s="59" t="s">
        <v>282</v>
      </c>
      <c r="E62" s="59">
        <v>326</v>
      </c>
      <c r="F62" s="59">
        <v>2104</v>
      </c>
      <c r="G62" s="59">
        <v>6695</v>
      </c>
      <c r="H62" s="59">
        <v>856300</v>
      </c>
    </row>
    <row r="63" spans="1:8" x14ac:dyDescent="0.25">
      <c r="A63" s="59" t="s">
        <v>93</v>
      </c>
      <c r="B63" s="59">
        <v>2018</v>
      </c>
      <c r="C63" s="59" t="s">
        <v>30</v>
      </c>
      <c r="D63" s="59" t="s">
        <v>282</v>
      </c>
      <c r="E63" s="59">
        <v>9258</v>
      </c>
      <c r="F63" s="59">
        <v>42510</v>
      </c>
      <c r="G63" s="59">
        <v>170262</v>
      </c>
      <c r="H63" s="59">
        <v>856300</v>
      </c>
    </row>
    <row r="64" spans="1:8" x14ac:dyDescent="0.25">
      <c r="A64" s="59" t="s">
        <v>93</v>
      </c>
      <c r="B64" s="59">
        <v>2018</v>
      </c>
      <c r="C64" s="59" t="s">
        <v>31</v>
      </c>
      <c r="D64" s="59" t="s">
        <v>282</v>
      </c>
      <c r="E64" s="59">
        <v>3135</v>
      </c>
      <c r="F64" s="59">
        <v>24738</v>
      </c>
      <c r="G64" s="59">
        <v>6695</v>
      </c>
      <c r="H64" s="59">
        <v>856300</v>
      </c>
    </row>
    <row r="65" spans="1:8" x14ac:dyDescent="0.25">
      <c r="A65" s="59" t="s">
        <v>93</v>
      </c>
      <c r="B65" s="59">
        <v>2018</v>
      </c>
      <c r="C65" s="42" t="s">
        <v>32</v>
      </c>
      <c r="D65" s="59" t="s">
        <v>282</v>
      </c>
      <c r="E65" s="59">
        <v>4621</v>
      </c>
      <c r="F65" s="59">
        <v>17105</v>
      </c>
      <c r="G65" s="59">
        <v>170262</v>
      </c>
      <c r="H65" s="59">
        <v>856300</v>
      </c>
    </row>
    <row r="66" spans="1:8" x14ac:dyDescent="0.25">
      <c r="A66" s="59" t="s">
        <v>93</v>
      </c>
      <c r="B66" s="59">
        <v>2018</v>
      </c>
      <c r="C66" s="42" t="s">
        <v>33</v>
      </c>
      <c r="D66" s="59" t="s">
        <v>282</v>
      </c>
      <c r="E66" s="59">
        <v>773</v>
      </c>
      <c r="F66" s="59">
        <v>6379</v>
      </c>
      <c r="G66" s="59">
        <v>6695</v>
      </c>
      <c r="H66" s="59">
        <v>856300</v>
      </c>
    </row>
  </sheetData>
  <sortState ref="A120:I141">
    <sortCondition ref="A120"/>
  </sortState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8" zoomScale="80" zoomScaleNormal="80" workbookViewId="0">
      <selection activeCell="L12" sqref="L12"/>
    </sheetView>
  </sheetViews>
  <sheetFormatPr defaultRowHeight="15" x14ac:dyDescent="0.25"/>
  <cols>
    <col min="1" max="1" width="16.42578125" style="59" customWidth="1"/>
    <col min="2" max="2" width="9.140625" style="59"/>
    <col min="3" max="3" width="21.28515625" style="59" customWidth="1"/>
    <col min="4" max="4" width="13" style="59" customWidth="1"/>
    <col min="5" max="5" width="16.28515625" style="59" customWidth="1"/>
    <col min="6" max="6" width="15" style="59" customWidth="1"/>
    <col min="7" max="7" width="13.5703125" style="59" customWidth="1"/>
    <col min="8" max="8" width="15" style="59" customWidth="1"/>
    <col min="9" max="9" width="14.7109375" style="59" customWidth="1"/>
    <col min="10" max="11" width="9.140625" style="59"/>
    <col min="12" max="12" width="19.5703125" style="59" customWidth="1"/>
    <col min="13" max="15" width="9.140625" style="59"/>
    <col min="16" max="16" width="12.140625" style="59" customWidth="1"/>
    <col min="17" max="17" width="15.5703125" style="59" customWidth="1"/>
    <col min="18" max="18" width="19.28515625" style="59" bestFit="1" customWidth="1"/>
    <col min="19" max="19" width="17.140625" style="59" customWidth="1"/>
    <col min="20" max="20" width="22" style="59" bestFit="1" customWidth="1"/>
    <col min="21" max="16384" width="9.140625" style="59"/>
  </cols>
  <sheetData>
    <row r="1" spans="1:9" x14ac:dyDescent="0.25">
      <c r="D1" s="73"/>
    </row>
    <row r="2" spans="1:9" x14ac:dyDescent="0.25">
      <c r="A2" s="59" t="s">
        <v>10</v>
      </c>
      <c r="B2" s="59" t="s">
        <v>0</v>
      </c>
      <c r="C2" s="59" t="s">
        <v>174</v>
      </c>
      <c r="F2" s="59" t="s">
        <v>170</v>
      </c>
      <c r="G2" s="59" t="s">
        <v>171</v>
      </c>
      <c r="H2" s="59" t="s">
        <v>172</v>
      </c>
      <c r="I2" s="59" t="s">
        <v>173</v>
      </c>
    </row>
    <row r="3" spans="1:9" x14ac:dyDescent="0.25">
      <c r="A3" s="59" t="s">
        <v>196</v>
      </c>
      <c r="B3" s="59">
        <v>2002</v>
      </c>
      <c r="C3" s="59" t="s">
        <v>16</v>
      </c>
      <c r="D3" s="73"/>
      <c r="E3" s="59" t="s">
        <v>238</v>
      </c>
      <c r="F3" s="59">
        <v>4</v>
      </c>
      <c r="G3" s="59">
        <v>284</v>
      </c>
      <c r="H3" s="59">
        <v>88</v>
      </c>
      <c r="I3" s="59">
        <v>22939</v>
      </c>
    </row>
    <row r="4" spans="1:9" x14ac:dyDescent="0.25">
      <c r="A4" s="59" t="s">
        <v>39</v>
      </c>
      <c r="B4" s="59">
        <v>1987</v>
      </c>
      <c r="C4" s="59" t="s">
        <v>157</v>
      </c>
      <c r="E4" s="59" t="s">
        <v>238</v>
      </c>
      <c r="F4" s="59">
        <v>2</v>
      </c>
      <c r="G4" s="59">
        <v>52</v>
      </c>
      <c r="H4" s="59">
        <v>0</v>
      </c>
      <c r="I4" s="59">
        <v>108</v>
      </c>
    </row>
    <row r="5" spans="1:9" x14ac:dyDescent="0.25">
      <c r="A5" s="59" t="s">
        <v>240</v>
      </c>
      <c r="B5" s="59">
        <v>2016</v>
      </c>
      <c r="C5" s="59" t="s">
        <v>16</v>
      </c>
      <c r="E5" s="59" t="s">
        <v>238</v>
      </c>
      <c r="F5" s="59">
        <v>0</v>
      </c>
      <c r="G5" s="59">
        <v>133</v>
      </c>
      <c r="H5" s="59">
        <v>0</v>
      </c>
      <c r="I5" s="59">
        <f>18500-133</f>
        <v>18367</v>
      </c>
    </row>
    <row r="6" spans="1:9" x14ac:dyDescent="0.25">
      <c r="A6" s="59" t="s">
        <v>228</v>
      </c>
      <c r="B6" s="59">
        <v>2014</v>
      </c>
      <c r="C6" s="59" t="s">
        <v>157</v>
      </c>
      <c r="E6" s="59" t="s">
        <v>238</v>
      </c>
      <c r="F6" s="59">
        <v>1</v>
      </c>
      <c r="G6" s="59">
        <v>9</v>
      </c>
      <c r="H6" s="59">
        <v>1</v>
      </c>
      <c r="I6" s="59">
        <v>2853</v>
      </c>
    </row>
    <row r="7" spans="1:9" x14ac:dyDescent="0.25">
      <c r="A7" s="59" t="s">
        <v>93</v>
      </c>
      <c r="B7" s="59">
        <v>2018</v>
      </c>
      <c r="C7" s="59" t="s">
        <v>16</v>
      </c>
      <c r="E7" s="59" t="s">
        <v>238</v>
      </c>
      <c r="F7" s="59">
        <v>141</v>
      </c>
      <c r="G7" s="59">
        <v>11130</v>
      </c>
      <c r="H7" s="59">
        <v>3262</v>
      </c>
      <c r="I7" s="59">
        <v>841767</v>
      </c>
    </row>
    <row r="8" spans="1:9" x14ac:dyDescent="0.25">
      <c r="A8" s="59" t="s">
        <v>93</v>
      </c>
      <c r="B8" s="59">
        <v>2018</v>
      </c>
      <c r="C8" s="59" t="s">
        <v>342</v>
      </c>
      <c r="E8" s="59" t="s">
        <v>238</v>
      </c>
      <c r="F8" s="59">
        <v>156</v>
      </c>
      <c r="G8" s="59">
        <v>11115</v>
      </c>
      <c r="H8" s="59">
        <v>4163</v>
      </c>
      <c r="I8" s="59">
        <v>845029</v>
      </c>
    </row>
    <row r="9" spans="1:9" x14ac:dyDescent="0.25">
      <c r="A9" s="59" t="s">
        <v>114</v>
      </c>
      <c r="B9" s="59">
        <v>1988</v>
      </c>
      <c r="C9" s="59" t="s">
        <v>157</v>
      </c>
      <c r="E9" s="59" t="s">
        <v>238</v>
      </c>
      <c r="F9" s="59">
        <v>0</v>
      </c>
      <c r="G9" s="59">
        <v>6</v>
      </c>
      <c r="H9" s="59">
        <v>7</v>
      </c>
      <c r="I9" s="59">
        <v>1102</v>
      </c>
    </row>
    <row r="10" spans="1:9" x14ac:dyDescent="0.25">
      <c r="A10" s="59" t="s">
        <v>141</v>
      </c>
      <c r="B10" s="59">
        <v>2013</v>
      </c>
      <c r="C10" s="59" t="s">
        <v>16</v>
      </c>
      <c r="E10" s="59" t="s">
        <v>238</v>
      </c>
      <c r="F10" s="59">
        <v>3</v>
      </c>
      <c r="G10" s="59">
        <v>336</v>
      </c>
      <c r="H10" s="59">
        <v>81</v>
      </c>
      <c r="I10" s="59">
        <v>27097</v>
      </c>
    </row>
    <row r="11" spans="1:9" x14ac:dyDescent="0.25">
      <c r="A11" s="59" t="s">
        <v>128</v>
      </c>
      <c r="B11" s="59">
        <v>2009</v>
      </c>
      <c r="C11" s="59" t="s">
        <v>157</v>
      </c>
      <c r="E11" s="59" t="s">
        <v>238</v>
      </c>
      <c r="F11" s="59">
        <v>2</v>
      </c>
      <c r="G11" s="59">
        <v>31</v>
      </c>
      <c r="H11" s="59">
        <v>39</v>
      </c>
      <c r="I11" s="59">
        <v>469</v>
      </c>
    </row>
    <row r="13" spans="1:9" x14ac:dyDescent="0.25">
      <c r="A13" s="59" t="s">
        <v>196</v>
      </c>
      <c r="B13" s="59">
        <v>2002</v>
      </c>
      <c r="C13" s="59" t="s">
        <v>273</v>
      </c>
      <c r="D13" s="73"/>
      <c r="E13" s="59" t="s">
        <v>238</v>
      </c>
      <c r="F13" s="59">
        <v>8</v>
      </c>
      <c r="G13" s="59">
        <v>280</v>
      </c>
      <c r="H13" s="59">
        <v>450</v>
      </c>
      <c r="I13" s="59">
        <v>22977</v>
      </c>
    </row>
    <row r="14" spans="1:9" x14ac:dyDescent="0.25">
      <c r="A14" s="59" t="s">
        <v>39</v>
      </c>
      <c r="B14" s="59">
        <v>1987</v>
      </c>
      <c r="C14" s="59" t="s">
        <v>273</v>
      </c>
      <c r="E14" s="59" t="s">
        <v>238</v>
      </c>
      <c r="F14" s="59">
        <v>3</v>
      </c>
      <c r="G14" s="59">
        <v>51</v>
      </c>
      <c r="H14" s="59">
        <v>0</v>
      </c>
      <c r="I14" s="59">
        <v>108</v>
      </c>
    </row>
    <row r="15" spans="1:9" x14ac:dyDescent="0.25">
      <c r="A15" s="59" t="s">
        <v>93</v>
      </c>
      <c r="B15" s="59">
        <v>2018</v>
      </c>
      <c r="C15" s="59" t="s">
        <v>273</v>
      </c>
      <c r="E15" s="59" t="s">
        <v>238</v>
      </c>
      <c r="F15" s="59">
        <v>426</v>
      </c>
      <c r="G15" s="59">
        <v>10845</v>
      </c>
      <c r="H15" s="59">
        <v>23484</v>
      </c>
      <c r="I15" s="59">
        <v>821871</v>
      </c>
    </row>
    <row r="16" spans="1:9" x14ac:dyDescent="0.25">
      <c r="A16" s="59" t="s">
        <v>141</v>
      </c>
      <c r="B16" s="59">
        <v>2013</v>
      </c>
      <c r="C16" s="59" t="s">
        <v>273</v>
      </c>
      <c r="F16" s="59">
        <v>18</v>
      </c>
      <c r="G16" s="59">
        <v>322</v>
      </c>
      <c r="H16" s="59">
        <v>734</v>
      </c>
      <c r="I16" s="59">
        <v>26463</v>
      </c>
    </row>
    <row r="18" spans="1:9" x14ac:dyDescent="0.25">
      <c r="A18" s="59" t="s">
        <v>10</v>
      </c>
      <c r="B18" s="59" t="s">
        <v>0</v>
      </c>
      <c r="C18" s="59" t="s">
        <v>174</v>
      </c>
      <c r="F18" s="59" t="s">
        <v>170</v>
      </c>
      <c r="G18" s="59" t="s">
        <v>171</v>
      </c>
      <c r="H18" s="59" t="s">
        <v>172</v>
      </c>
      <c r="I18" s="59" t="s">
        <v>173</v>
      </c>
    </row>
    <row r="19" spans="1:9" x14ac:dyDescent="0.25">
      <c r="A19" s="59" t="s">
        <v>39</v>
      </c>
      <c r="B19" s="59">
        <v>1987</v>
      </c>
      <c r="C19" s="42" t="s">
        <v>79</v>
      </c>
      <c r="D19" s="59" t="s">
        <v>377</v>
      </c>
      <c r="E19" s="59" t="s">
        <v>238</v>
      </c>
      <c r="F19" s="59">
        <v>5</v>
      </c>
      <c r="G19" s="59">
        <v>49</v>
      </c>
      <c r="H19" s="59">
        <v>0</v>
      </c>
      <c r="I19" s="59">
        <v>108</v>
      </c>
    </row>
    <row r="20" spans="1:9" x14ac:dyDescent="0.25">
      <c r="A20" s="59" t="s">
        <v>209</v>
      </c>
      <c r="B20" s="59">
        <v>2001</v>
      </c>
      <c r="C20" s="59" t="s">
        <v>79</v>
      </c>
      <c r="D20" s="59" t="s">
        <v>377</v>
      </c>
      <c r="E20" s="59" t="s">
        <v>238</v>
      </c>
      <c r="F20" s="59">
        <v>130</v>
      </c>
      <c r="G20" s="59">
        <v>711</v>
      </c>
      <c r="H20" s="59">
        <v>7191</v>
      </c>
      <c r="I20" s="59">
        <v>61107</v>
      </c>
    </row>
    <row r="21" spans="1:9" x14ac:dyDescent="0.25">
      <c r="A21" s="59" t="s">
        <v>93</v>
      </c>
      <c r="B21" s="59">
        <v>2018</v>
      </c>
      <c r="C21" s="59" t="s">
        <v>83</v>
      </c>
      <c r="D21" s="59" t="s">
        <v>378</v>
      </c>
      <c r="E21" s="59" t="s">
        <v>238</v>
      </c>
      <c r="F21" s="59">
        <v>1076</v>
      </c>
      <c r="G21" s="59">
        <v>10195</v>
      </c>
      <c r="H21" s="59">
        <v>77741</v>
      </c>
      <c r="I21" s="59">
        <v>767288</v>
      </c>
    </row>
    <row r="22" spans="1:9" x14ac:dyDescent="0.25">
      <c r="A22" s="59" t="s">
        <v>141</v>
      </c>
      <c r="B22" s="59">
        <v>2013</v>
      </c>
      <c r="C22" s="59" t="s">
        <v>83</v>
      </c>
      <c r="D22" s="59" t="s">
        <v>378</v>
      </c>
      <c r="E22" s="59" t="s">
        <v>238</v>
      </c>
      <c r="F22" s="59">
        <v>37</v>
      </c>
      <c r="G22" s="59">
        <v>303</v>
      </c>
      <c r="H22" s="59">
        <v>2434</v>
      </c>
      <c r="I22" s="59">
        <v>24763</v>
      </c>
    </row>
    <row r="23" spans="1:9" x14ac:dyDescent="0.25">
      <c r="A23" s="59" t="s">
        <v>201</v>
      </c>
      <c r="B23" s="59">
        <v>2017</v>
      </c>
      <c r="C23" s="59" t="s">
        <v>347</v>
      </c>
      <c r="D23" s="59" t="s">
        <v>377</v>
      </c>
      <c r="E23" s="59" t="s">
        <v>238</v>
      </c>
      <c r="F23" s="59">
        <v>8</v>
      </c>
      <c r="G23" s="59">
        <v>25</v>
      </c>
      <c r="H23" s="59">
        <v>228</v>
      </c>
      <c r="I23" s="59">
        <v>739</v>
      </c>
    </row>
    <row r="24" spans="1:9" x14ac:dyDescent="0.25">
      <c r="A24" s="59" t="s">
        <v>115</v>
      </c>
      <c r="B24" s="59">
        <v>2000</v>
      </c>
      <c r="C24" s="59" t="s">
        <v>79</v>
      </c>
      <c r="D24" s="59" t="s">
        <v>377</v>
      </c>
      <c r="E24" s="59" t="s">
        <v>238</v>
      </c>
      <c r="F24" s="59">
        <v>24</v>
      </c>
      <c r="G24" s="59">
        <v>192</v>
      </c>
      <c r="H24" s="59">
        <v>2304</v>
      </c>
      <c r="I24" s="59">
        <v>19492</v>
      </c>
    </row>
    <row r="25" spans="1:9" x14ac:dyDescent="0.25">
      <c r="A25" s="59" t="s">
        <v>135</v>
      </c>
      <c r="B25" s="59">
        <v>2015</v>
      </c>
      <c r="C25" s="59" t="s">
        <v>83</v>
      </c>
      <c r="D25" s="59" t="s">
        <v>379</v>
      </c>
      <c r="E25" s="59" t="s">
        <v>238</v>
      </c>
      <c r="F25" s="59">
        <v>18</v>
      </c>
      <c r="G25" s="59">
        <v>4</v>
      </c>
      <c r="H25" s="59">
        <v>512</v>
      </c>
      <c r="I25" s="59">
        <v>526</v>
      </c>
    </row>
    <row r="26" spans="1:9" x14ac:dyDescent="0.25">
      <c r="A26" s="59" t="s">
        <v>161</v>
      </c>
      <c r="B26" s="59">
        <v>2013</v>
      </c>
      <c r="C26" s="59" t="s">
        <v>347</v>
      </c>
      <c r="D26" s="59" t="s">
        <v>380</v>
      </c>
      <c r="E26" s="59" t="s">
        <v>238</v>
      </c>
      <c r="F26" s="59">
        <v>0</v>
      </c>
      <c r="G26" s="59">
        <v>2</v>
      </c>
      <c r="H26" s="59">
        <v>30</v>
      </c>
      <c r="I26" s="59">
        <v>48</v>
      </c>
    </row>
    <row r="28" spans="1:9" x14ac:dyDescent="0.25">
      <c r="A28" s="59" t="s">
        <v>196</v>
      </c>
      <c r="B28" s="59">
        <v>2002</v>
      </c>
      <c r="C28" s="59" t="s">
        <v>243</v>
      </c>
      <c r="D28" s="73"/>
      <c r="F28" s="59">
        <v>18</v>
      </c>
      <c r="G28" s="59">
        <v>270</v>
      </c>
      <c r="H28" s="59">
        <v>1423</v>
      </c>
      <c r="I28" s="59">
        <v>21604</v>
      </c>
    </row>
    <row r="29" spans="1:9" x14ac:dyDescent="0.25">
      <c r="A29" s="59" t="s">
        <v>341</v>
      </c>
      <c r="B29" s="59">
        <v>2018</v>
      </c>
      <c r="C29" s="59" t="s">
        <v>261</v>
      </c>
      <c r="F29" s="59">
        <v>693</v>
      </c>
      <c r="G29" s="59">
        <v>10578</v>
      </c>
      <c r="H29" s="59">
        <v>46086</v>
      </c>
      <c r="I29" s="59">
        <v>798943</v>
      </c>
    </row>
    <row r="30" spans="1:9" x14ac:dyDescent="0.25">
      <c r="A30" s="59" t="s">
        <v>141</v>
      </c>
      <c r="B30" s="59">
        <v>2013</v>
      </c>
      <c r="C30" s="59" t="s">
        <v>243</v>
      </c>
      <c r="F30" s="59">
        <v>29</v>
      </c>
      <c r="G30" s="59">
        <f>338-29</f>
        <v>309</v>
      </c>
      <c r="H30" s="59">
        <v>1612</v>
      </c>
      <c r="I30" s="59">
        <f>27071-1612</f>
        <v>25459</v>
      </c>
    </row>
    <row r="32" spans="1:9" x14ac:dyDescent="0.25">
      <c r="A32" s="59" t="s">
        <v>196</v>
      </c>
      <c r="B32" s="59">
        <v>2002</v>
      </c>
      <c r="C32" s="59" t="s">
        <v>23</v>
      </c>
      <c r="D32" s="73"/>
      <c r="F32" s="59">
        <v>26</v>
      </c>
      <c r="G32" s="59">
        <v>262</v>
      </c>
      <c r="H32" s="59">
        <v>1712</v>
      </c>
      <c r="I32" s="59">
        <v>21315</v>
      </c>
    </row>
    <row r="33" spans="1:9" x14ac:dyDescent="0.25">
      <c r="A33" s="59" t="s">
        <v>93</v>
      </c>
      <c r="B33" s="59">
        <v>2018</v>
      </c>
      <c r="C33" s="59" t="s">
        <v>283</v>
      </c>
      <c r="F33" s="59">
        <f>698+369</f>
        <v>1067</v>
      </c>
      <c r="G33" s="59">
        <f>11271-1067</f>
        <v>10204</v>
      </c>
      <c r="H33" s="59">
        <f>41812+24369</f>
        <v>66181</v>
      </c>
      <c r="I33" s="59">
        <f>757131+21717</f>
        <v>778848</v>
      </c>
    </row>
    <row r="34" spans="1:9" x14ac:dyDescent="0.25">
      <c r="A34" s="59" t="s">
        <v>141</v>
      </c>
      <c r="B34" s="59">
        <v>2013</v>
      </c>
      <c r="C34" s="59" t="s">
        <v>283</v>
      </c>
      <c r="F34" s="59">
        <v>46</v>
      </c>
      <c r="G34" s="59">
        <v>294</v>
      </c>
      <c r="H34" s="59">
        <v>2489</v>
      </c>
      <c r="I34" s="59">
        <f>27197-2489</f>
        <v>24708</v>
      </c>
    </row>
    <row r="36" spans="1:9" x14ac:dyDescent="0.25">
      <c r="A36" s="59" t="s">
        <v>196</v>
      </c>
      <c r="B36" s="59">
        <v>2002</v>
      </c>
      <c r="C36" s="59" t="s">
        <v>291</v>
      </c>
      <c r="D36" s="73" t="s">
        <v>374</v>
      </c>
      <c r="F36" s="59">
        <v>18</v>
      </c>
      <c r="G36" s="59">
        <v>270</v>
      </c>
      <c r="H36" s="59">
        <v>1084</v>
      </c>
      <c r="I36" s="59">
        <v>21943</v>
      </c>
    </row>
    <row r="37" spans="1:9" x14ac:dyDescent="0.25">
      <c r="A37" s="59" t="s">
        <v>196</v>
      </c>
      <c r="B37" s="59">
        <v>2002</v>
      </c>
      <c r="C37" s="59" t="s">
        <v>35</v>
      </c>
      <c r="D37" s="73" t="s">
        <v>149</v>
      </c>
      <c r="F37" s="59">
        <v>24</v>
      </c>
      <c r="G37" s="59">
        <v>264</v>
      </c>
      <c r="H37" s="59">
        <v>2179</v>
      </c>
      <c r="I37" s="59">
        <v>20848</v>
      </c>
    </row>
    <row r="38" spans="1:9" x14ac:dyDescent="0.25">
      <c r="A38" s="59" t="s">
        <v>209</v>
      </c>
      <c r="B38" s="59">
        <v>2001</v>
      </c>
      <c r="C38" s="59" t="s">
        <v>268</v>
      </c>
      <c r="D38" s="59" t="s">
        <v>374</v>
      </c>
      <c r="F38" s="59">
        <v>74</v>
      </c>
      <c r="G38" s="59">
        <f>841-74</f>
        <v>767</v>
      </c>
      <c r="H38" s="59">
        <f>544+4274</f>
        <v>4818</v>
      </c>
      <c r="I38" s="59">
        <v>63479</v>
      </c>
    </row>
    <row r="39" spans="1:9" x14ac:dyDescent="0.25">
      <c r="A39" s="59" t="s">
        <v>209</v>
      </c>
      <c r="B39" s="59">
        <v>2001</v>
      </c>
      <c r="C39" s="59" t="s">
        <v>35</v>
      </c>
      <c r="D39" s="59" t="s">
        <v>149</v>
      </c>
      <c r="F39" s="59">
        <v>52</v>
      </c>
      <c r="G39" s="59">
        <f>841-52</f>
        <v>789</v>
      </c>
      <c r="H39" s="59">
        <v>3939</v>
      </c>
      <c r="I39" s="59">
        <f>68298-3939</f>
        <v>64359</v>
      </c>
    </row>
    <row r="40" spans="1:9" x14ac:dyDescent="0.25">
      <c r="A40" s="59" t="s">
        <v>93</v>
      </c>
      <c r="B40" s="59">
        <v>2018</v>
      </c>
      <c r="C40" s="59" t="s">
        <v>35</v>
      </c>
      <c r="D40" s="59" t="s">
        <v>149</v>
      </c>
      <c r="F40" s="59">
        <v>1151</v>
      </c>
      <c r="G40" s="59">
        <f>10113-1151</f>
        <v>8962</v>
      </c>
      <c r="H40" s="59">
        <f>84164-1151</f>
        <v>83013</v>
      </c>
      <c r="I40" s="59">
        <f>771324-10113</f>
        <v>761211</v>
      </c>
    </row>
    <row r="41" spans="1:9" x14ac:dyDescent="0.25">
      <c r="A41" s="59" t="s">
        <v>141</v>
      </c>
      <c r="B41" s="59">
        <v>2013</v>
      </c>
      <c r="C41" s="59" t="s">
        <v>291</v>
      </c>
      <c r="D41" s="59" t="s">
        <v>374</v>
      </c>
      <c r="F41" s="59">
        <v>22</v>
      </c>
      <c r="G41" s="59">
        <v>318</v>
      </c>
      <c r="H41" s="59">
        <v>1288</v>
      </c>
      <c r="I41" s="59">
        <f>27194-1288</f>
        <v>25906</v>
      </c>
    </row>
    <row r="42" spans="1:9" x14ac:dyDescent="0.25">
      <c r="A42" s="59" t="s">
        <v>141</v>
      </c>
      <c r="B42" s="59">
        <v>2013</v>
      </c>
      <c r="C42" s="59" t="s">
        <v>35</v>
      </c>
      <c r="D42" s="59" t="s">
        <v>149</v>
      </c>
      <c r="F42" s="59">
        <v>41</v>
      </c>
      <c r="G42" s="59">
        <v>299</v>
      </c>
      <c r="H42" s="59">
        <v>2739</v>
      </c>
      <c r="I42" s="59">
        <f>27194-2739</f>
        <v>24455</v>
      </c>
    </row>
    <row r="43" spans="1:9" x14ac:dyDescent="0.25">
      <c r="A43" s="59" t="s">
        <v>128</v>
      </c>
      <c r="B43" s="59">
        <v>2009</v>
      </c>
      <c r="C43" s="59" t="s">
        <v>18</v>
      </c>
      <c r="D43" s="59" t="s">
        <v>187</v>
      </c>
      <c r="F43" s="59">
        <v>3</v>
      </c>
      <c r="G43" s="59">
        <v>28</v>
      </c>
      <c r="H43" s="59">
        <v>52</v>
      </c>
      <c r="I43" s="59">
        <f>541-83</f>
        <v>458</v>
      </c>
    </row>
    <row r="46" spans="1:9" x14ac:dyDescent="0.25">
      <c r="A46" s="59" t="s">
        <v>196</v>
      </c>
      <c r="B46" s="59">
        <v>2002</v>
      </c>
      <c r="C46" s="42" t="s">
        <v>271</v>
      </c>
      <c r="D46" s="73"/>
      <c r="F46" s="59">
        <v>24</v>
      </c>
      <c r="G46" s="59">
        <v>264</v>
      </c>
      <c r="H46" s="59">
        <v>1185</v>
      </c>
      <c r="I46" s="59">
        <v>21842</v>
      </c>
    </row>
    <row r="47" spans="1:9" x14ac:dyDescent="0.25">
      <c r="A47" s="59" t="s">
        <v>141</v>
      </c>
      <c r="B47" s="59">
        <v>2013</v>
      </c>
      <c r="C47" s="59" t="s">
        <v>271</v>
      </c>
      <c r="F47" s="59">
        <v>32</v>
      </c>
      <c r="G47" s="59">
        <v>308</v>
      </c>
      <c r="H47" s="59">
        <v>1465</v>
      </c>
      <c r="I47" s="59">
        <f>27197-1465</f>
        <v>25732</v>
      </c>
    </row>
  </sheetData>
  <sortState ref="A55:H61">
    <sortCondition ref="A3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88"/>
  <sheetViews>
    <sheetView zoomScale="80" zoomScaleNormal="80" workbookViewId="0">
      <selection activeCell="N89" sqref="N89:AB104"/>
    </sheetView>
  </sheetViews>
  <sheetFormatPr defaultRowHeight="15" x14ac:dyDescent="0.25"/>
  <cols>
    <col min="1" max="2" width="9.140625" style="59"/>
    <col min="3" max="4" width="9" style="59" customWidth="1"/>
    <col min="5" max="5" width="12.28515625" style="59" customWidth="1"/>
    <col min="6" max="6" width="17.85546875" style="59" customWidth="1"/>
    <col min="7" max="7" width="17.140625" style="59" customWidth="1"/>
    <col min="8" max="13" width="9.140625" style="59"/>
    <col min="14" max="14" width="11.7109375" style="59" customWidth="1"/>
    <col min="15" max="15" width="9.140625" style="59"/>
    <col min="16" max="16" width="10" style="59" customWidth="1"/>
    <col min="17" max="17" width="17.140625" style="59" customWidth="1"/>
    <col min="18" max="18" width="14" style="59" customWidth="1"/>
    <col min="19" max="19" width="12" style="59" customWidth="1"/>
    <col min="20" max="23" width="9.140625" style="59"/>
    <col min="24" max="24" width="12" style="59" customWidth="1"/>
    <col min="25" max="16384" width="9.140625" style="59"/>
  </cols>
  <sheetData>
    <row r="2" spans="1:33" s="74" customFormat="1" ht="15.75" x14ac:dyDescent="0.25">
      <c r="A2" s="74" t="s">
        <v>178</v>
      </c>
      <c r="N2" s="74" t="s">
        <v>348</v>
      </c>
      <c r="S2" s="74" t="s">
        <v>435</v>
      </c>
    </row>
    <row r="3" spans="1:33" x14ac:dyDescent="0.25">
      <c r="B3" s="59" t="s">
        <v>10</v>
      </c>
      <c r="C3" s="23" t="s">
        <v>0</v>
      </c>
      <c r="D3" s="23" t="s">
        <v>168</v>
      </c>
      <c r="E3" s="59" t="s">
        <v>194</v>
      </c>
      <c r="F3" s="59" t="s">
        <v>174</v>
      </c>
      <c r="G3" s="59" t="s">
        <v>373</v>
      </c>
      <c r="H3" s="59" t="s">
        <v>170</v>
      </c>
      <c r="I3" s="59" t="s">
        <v>171</v>
      </c>
      <c r="J3" s="59" t="s">
        <v>172</v>
      </c>
      <c r="K3" s="59" t="s">
        <v>173</v>
      </c>
      <c r="N3" s="59" t="s">
        <v>10</v>
      </c>
      <c r="O3" s="26" t="s">
        <v>0</v>
      </c>
      <c r="P3" s="59" t="s">
        <v>176</v>
      </c>
      <c r="Q3" s="59" t="s">
        <v>79</v>
      </c>
      <c r="R3" s="59" t="s">
        <v>52</v>
      </c>
      <c r="S3" s="59" t="s">
        <v>194</v>
      </c>
      <c r="T3" s="59" t="s">
        <v>170</v>
      </c>
      <c r="U3" s="59" t="s">
        <v>171</v>
      </c>
      <c r="V3" s="59" t="s">
        <v>172</v>
      </c>
      <c r="W3" s="59" t="s">
        <v>173</v>
      </c>
      <c r="AA3" s="59" t="s">
        <v>178</v>
      </c>
    </row>
    <row r="4" spans="1:33" x14ac:dyDescent="0.25">
      <c r="B4" s="59" t="s">
        <v>123</v>
      </c>
      <c r="C4" s="23">
        <v>2012</v>
      </c>
      <c r="D4" s="23" t="s">
        <v>53</v>
      </c>
      <c r="E4" s="59" t="s">
        <v>151</v>
      </c>
      <c r="F4" s="59" t="s">
        <v>162</v>
      </c>
      <c r="G4" s="24" t="s">
        <v>94</v>
      </c>
      <c r="H4" s="59">
        <v>45</v>
      </c>
      <c r="I4" s="59">
        <v>49</v>
      </c>
      <c r="J4" s="59">
        <v>12</v>
      </c>
      <c r="K4" s="59">
        <v>494</v>
      </c>
      <c r="N4" s="59" t="s">
        <v>123</v>
      </c>
      <c r="O4" s="26">
        <v>2012</v>
      </c>
      <c r="P4" s="59" t="s">
        <v>79</v>
      </c>
      <c r="Q4" s="59" t="s">
        <v>347</v>
      </c>
      <c r="R4" s="59" t="s">
        <v>53</v>
      </c>
      <c r="S4" s="59" t="s">
        <v>151</v>
      </c>
      <c r="T4" s="59">
        <v>25</v>
      </c>
      <c r="U4" s="59">
        <v>69</v>
      </c>
      <c r="V4" s="59">
        <v>36</v>
      </c>
      <c r="W4" s="59">
        <v>418</v>
      </c>
      <c r="AA4" s="59" t="s">
        <v>10</v>
      </c>
      <c r="AB4" s="59" t="s">
        <v>0</v>
      </c>
      <c r="AC4" s="59" t="s">
        <v>176</v>
      </c>
      <c r="AD4" s="24" t="s">
        <v>170</v>
      </c>
      <c r="AE4" s="24" t="s">
        <v>171</v>
      </c>
      <c r="AF4" s="24" t="s">
        <v>172</v>
      </c>
      <c r="AG4" s="24" t="s">
        <v>173</v>
      </c>
    </row>
    <row r="5" spans="1:33" x14ac:dyDescent="0.25">
      <c r="B5" s="59" t="s">
        <v>40</v>
      </c>
      <c r="C5" s="23">
        <v>2012</v>
      </c>
      <c r="D5" s="23" t="s">
        <v>53</v>
      </c>
      <c r="E5" s="59" t="s">
        <v>281</v>
      </c>
      <c r="F5" s="59" t="s">
        <v>162</v>
      </c>
      <c r="G5" s="24" t="s">
        <v>94</v>
      </c>
      <c r="H5" s="59">
        <v>20</v>
      </c>
      <c r="I5" s="59">
        <v>97</v>
      </c>
      <c r="J5" s="59">
        <v>79</v>
      </c>
      <c r="K5" s="59">
        <v>804</v>
      </c>
      <c r="N5" s="59" t="s">
        <v>431</v>
      </c>
      <c r="O5" s="26">
        <v>2017</v>
      </c>
      <c r="P5" s="59" t="s">
        <v>79</v>
      </c>
      <c r="Q5" s="59" t="s">
        <v>347</v>
      </c>
      <c r="R5" s="59" t="s">
        <v>53</v>
      </c>
      <c r="S5" s="59" t="s">
        <v>281</v>
      </c>
      <c r="T5" s="59">
        <v>26</v>
      </c>
      <c r="U5" s="59">
        <v>28</v>
      </c>
      <c r="V5" s="59">
        <v>123</v>
      </c>
      <c r="W5" s="59">
        <v>272</v>
      </c>
      <c r="AA5" s="59" t="s">
        <v>40</v>
      </c>
      <c r="AB5" s="59">
        <v>2012</v>
      </c>
      <c r="AC5" s="59" t="s">
        <v>79</v>
      </c>
      <c r="AD5" s="24">
        <v>15</v>
      </c>
      <c r="AE5" s="24">
        <v>93</v>
      </c>
      <c r="AF5" s="24">
        <v>117</v>
      </c>
      <c r="AG5" s="24">
        <v>1000</v>
      </c>
    </row>
    <row r="6" spans="1:33" x14ac:dyDescent="0.25">
      <c r="B6" s="59" t="s">
        <v>260</v>
      </c>
      <c r="C6" s="23">
        <v>2007</v>
      </c>
      <c r="D6" s="23" t="s">
        <v>53</v>
      </c>
      <c r="E6" s="59" t="s">
        <v>281</v>
      </c>
      <c r="F6" s="59" t="s">
        <v>162</v>
      </c>
      <c r="G6" s="24">
        <v>7.0000000000000007E-2</v>
      </c>
      <c r="H6" s="59">
        <v>36</v>
      </c>
      <c r="I6" s="59">
        <v>65</v>
      </c>
      <c r="J6" s="59">
        <v>230</v>
      </c>
      <c r="K6" s="59">
        <v>234</v>
      </c>
      <c r="N6" s="59" t="s">
        <v>40</v>
      </c>
      <c r="O6" s="26">
        <v>2012</v>
      </c>
      <c r="P6" s="59" t="s">
        <v>79</v>
      </c>
      <c r="Q6" s="59" t="s">
        <v>351</v>
      </c>
      <c r="R6" s="59" t="s">
        <v>53</v>
      </c>
      <c r="S6" s="59" t="s">
        <v>281</v>
      </c>
      <c r="T6" s="59">
        <v>15</v>
      </c>
      <c r="U6" s="59">
        <v>78</v>
      </c>
      <c r="V6" s="59">
        <v>61</v>
      </c>
      <c r="W6" s="59">
        <f>595+127</f>
        <v>722</v>
      </c>
      <c r="AA6" s="59" t="s">
        <v>40</v>
      </c>
      <c r="AB6" s="59">
        <v>2012</v>
      </c>
      <c r="AC6" s="59" t="s">
        <v>177</v>
      </c>
      <c r="AD6" s="24">
        <v>24</v>
      </c>
      <c r="AE6" s="24">
        <v>172</v>
      </c>
      <c r="AF6" s="24">
        <v>117</v>
      </c>
      <c r="AG6" s="24">
        <v>1000</v>
      </c>
    </row>
    <row r="7" spans="1:33" x14ac:dyDescent="0.25">
      <c r="B7" s="59" t="s">
        <v>260</v>
      </c>
      <c r="C7" s="23">
        <v>2006</v>
      </c>
      <c r="D7" s="23" t="s">
        <v>53</v>
      </c>
      <c r="E7" s="59" t="s">
        <v>281</v>
      </c>
      <c r="F7" s="59" t="s">
        <v>162</v>
      </c>
      <c r="G7" s="24">
        <v>7.0000000000000007E-2</v>
      </c>
      <c r="H7" s="59">
        <v>18</v>
      </c>
      <c r="I7" s="59">
        <v>124</v>
      </c>
      <c r="J7" s="59">
        <v>61</v>
      </c>
      <c r="K7" s="59">
        <f>885-SUM(H7:J7)</f>
        <v>682</v>
      </c>
      <c r="N7" s="59" t="s">
        <v>40</v>
      </c>
      <c r="O7" s="26">
        <v>2012</v>
      </c>
      <c r="P7" s="59" t="s">
        <v>177</v>
      </c>
      <c r="R7" s="59" t="s">
        <v>53</v>
      </c>
      <c r="S7" s="59" t="s">
        <v>281</v>
      </c>
      <c r="T7" s="59">
        <v>24</v>
      </c>
      <c r="U7" s="59">
        <v>78</v>
      </c>
      <c r="V7" s="59">
        <v>127</v>
      </c>
      <c r="W7" s="59">
        <f>595+61</f>
        <v>656</v>
      </c>
      <c r="AA7" s="59" t="s">
        <v>122</v>
      </c>
      <c r="AB7" s="59">
        <v>2015</v>
      </c>
      <c r="AC7" s="59" t="s">
        <v>177</v>
      </c>
      <c r="AD7" s="24">
        <v>3</v>
      </c>
      <c r="AE7" s="24">
        <v>9</v>
      </c>
      <c r="AF7" s="24">
        <v>18</v>
      </c>
      <c r="AG7" s="24">
        <v>200</v>
      </c>
    </row>
    <row r="8" spans="1:33" x14ac:dyDescent="0.25">
      <c r="B8" s="59" t="s">
        <v>208</v>
      </c>
      <c r="C8" s="23">
        <v>2000</v>
      </c>
      <c r="D8" s="23" t="s">
        <v>53</v>
      </c>
      <c r="E8" s="59" t="s">
        <v>281</v>
      </c>
      <c r="F8" s="59" t="s">
        <v>162</v>
      </c>
      <c r="G8" s="24">
        <v>0.17</v>
      </c>
      <c r="H8" s="59">
        <v>7</v>
      </c>
      <c r="I8" s="59">
        <v>55</v>
      </c>
      <c r="J8" s="59">
        <v>63</v>
      </c>
      <c r="K8" s="59">
        <v>562</v>
      </c>
      <c r="N8" s="59" t="s">
        <v>208</v>
      </c>
      <c r="O8" s="26">
        <v>2000</v>
      </c>
      <c r="P8" s="59" t="s">
        <v>79</v>
      </c>
      <c r="Q8" s="59" t="s">
        <v>83</v>
      </c>
      <c r="R8" s="59" t="s">
        <v>53</v>
      </c>
      <c r="S8" s="59" t="s">
        <v>281</v>
      </c>
      <c r="T8" s="59">
        <v>4</v>
      </c>
      <c r="U8" s="59">
        <v>58</v>
      </c>
      <c r="V8" s="59">
        <v>17</v>
      </c>
      <c r="W8" s="59">
        <v>490</v>
      </c>
      <c r="AA8" s="59" t="s">
        <v>122</v>
      </c>
      <c r="AB8" s="59">
        <v>2015</v>
      </c>
      <c r="AC8" s="59" t="s">
        <v>79</v>
      </c>
      <c r="AD8" s="24">
        <v>2</v>
      </c>
      <c r="AE8" s="24">
        <v>9</v>
      </c>
      <c r="AF8" s="24">
        <v>18</v>
      </c>
      <c r="AG8" s="24">
        <v>200</v>
      </c>
    </row>
    <row r="9" spans="1:33" x14ac:dyDescent="0.25">
      <c r="B9" s="59" t="s">
        <v>427</v>
      </c>
      <c r="C9" s="23">
        <v>2011</v>
      </c>
      <c r="D9" s="23" t="s">
        <v>53</v>
      </c>
      <c r="E9" s="59" t="s">
        <v>151</v>
      </c>
      <c r="F9" s="59" t="s">
        <v>162</v>
      </c>
      <c r="G9" s="24">
        <v>0.27</v>
      </c>
      <c r="H9" s="59">
        <v>8</v>
      </c>
      <c r="I9" s="59">
        <v>12</v>
      </c>
      <c r="J9" s="59">
        <v>14</v>
      </c>
      <c r="K9" s="59">
        <v>168</v>
      </c>
      <c r="N9" s="59" t="s">
        <v>208</v>
      </c>
      <c r="O9" s="26">
        <v>2000</v>
      </c>
      <c r="P9" s="59" t="s">
        <v>177</v>
      </c>
      <c r="R9" s="59" t="s">
        <v>53</v>
      </c>
      <c r="S9" s="59" t="s">
        <v>281</v>
      </c>
      <c r="T9" s="59">
        <v>2</v>
      </c>
      <c r="U9" s="59">
        <v>60</v>
      </c>
      <c r="V9" s="59">
        <v>22</v>
      </c>
      <c r="W9" s="59">
        <v>505</v>
      </c>
      <c r="AA9" s="59" t="s">
        <v>123</v>
      </c>
      <c r="AB9" s="59">
        <v>2012</v>
      </c>
      <c r="AC9" s="59" t="s">
        <v>347</v>
      </c>
      <c r="AD9" s="24">
        <v>25</v>
      </c>
      <c r="AE9" s="24">
        <v>93</v>
      </c>
      <c r="AF9" s="24">
        <v>94</v>
      </c>
      <c r="AG9" s="24">
        <v>600</v>
      </c>
    </row>
    <row r="10" spans="1:33" x14ac:dyDescent="0.25">
      <c r="B10" s="59" t="s">
        <v>99</v>
      </c>
      <c r="C10" s="23">
        <v>1995</v>
      </c>
      <c r="D10" s="23" t="s">
        <v>53</v>
      </c>
      <c r="E10" s="59" t="s">
        <v>281</v>
      </c>
      <c r="F10" s="59" t="s">
        <v>162</v>
      </c>
      <c r="G10" s="24">
        <v>6.5000000000000002E-2</v>
      </c>
      <c r="H10" s="59">
        <v>10</v>
      </c>
      <c r="I10" s="59">
        <v>53</v>
      </c>
      <c r="J10" s="59">
        <v>82</v>
      </c>
      <c r="K10" s="59">
        <v>490</v>
      </c>
      <c r="N10" s="59" t="s">
        <v>427</v>
      </c>
      <c r="O10" s="26">
        <v>2011</v>
      </c>
      <c r="P10" s="59" t="s">
        <v>79</v>
      </c>
      <c r="Q10" s="59" t="s">
        <v>83</v>
      </c>
      <c r="R10" s="59" t="s">
        <v>53</v>
      </c>
      <c r="S10" s="59" t="s">
        <v>151</v>
      </c>
      <c r="T10" s="59">
        <v>3</v>
      </c>
      <c r="U10" s="59">
        <v>17</v>
      </c>
      <c r="V10" s="59">
        <v>19</v>
      </c>
      <c r="W10" s="59">
        <v>163</v>
      </c>
      <c r="AA10" s="59" t="s">
        <v>150</v>
      </c>
      <c r="AB10" s="59">
        <v>2005</v>
      </c>
      <c r="AC10" s="59" t="s">
        <v>79</v>
      </c>
      <c r="AD10" s="24">
        <v>11</v>
      </c>
      <c r="AE10" s="24">
        <v>88</v>
      </c>
      <c r="AF10" s="24">
        <v>31</v>
      </c>
      <c r="AG10" s="24">
        <v>294</v>
      </c>
    </row>
    <row r="11" spans="1:33" x14ac:dyDescent="0.25">
      <c r="B11" s="59" t="s">
        <v>429</v>
      </c>
      <c r="C11" s="23">
        <v>2015</v>
      </c>
      <c r="D11" s="23" t="s">
        <v>53</v>
      </c>
      <c r="E11" s="59" t="s">
        <v>281</v>
      </c>
      <c r="F11" s="59" t="s">
        <v>162</v>
      </c>
      <c r="G11" s="24">
        <v>0.21</v>
      </c>
      <c r="H11" s="59">
        <v>4</v>
      </c>
      <c r="I11" s="59">
        <v>19</v>
      </c>
      <c r="J11" s="59">
        <v>18</v>
      </c>
      <c r="K11" s="59">
        <v>122</v>
      </c>
      <c r="N11" s="59" t="s">
        <v>122</v>
      </c>
      <c r="O11" s="26">
        <v>2015</v>
      </c>
      <c r="P11" s="59" t="s">
        <v>177</v>
      </c>
      <c r="R11" s="59" t="s">
        <v>53</v>
      </c>
      <c r="S11" s="59" t="s">
        <v>281</v>
      </c>
      <c r="T11" s="59">
        <v>3</v>
      </c>
      <c r="U11" s="59">
        <v>15</v>
      </c>
      <c r="V11" s="59">
        <v>5</v>
      </c>
      <c r="W11" s="59">
        <v>157</v>
      </c>
      <c r="AA11" s="59" t="s">
        <v>150</v>
      </c>
      <c r="AB11" s="59">
        <v>2005</v>
      </c>
      <c r="AC11" s="59" t="s">
        <v>177</v>
      </c>
      <c r="AD11" s="24">
        <v>1</v>
      </c>
      <c r="AE11" s="24">
        <v>18</v>
      </c>
      <c r="AF11" s="24">
        <v>36</v>
      </c>
      <c r="AG11" s="24">
        <v>294</v>
      </c>
    </row>
    <row r="12" spans="1:33" x14ac:dyDescent="0.25">
      <c r="B12" s="59" t="s">
        <v>124</v>
      </c>
      <c r="C12" s="23">
        <v>1994</v>
      </c>
      <c r="D12" s="23" t="s">
        <v>53</v>
      </c>
      <c r="E12" s="59" t="s">
        <v>281</v>
      </c>
      <c r="F12" s="59" t="s">
        <v>162</v>
      </c>
      <c r="G12" s="24">
        <v>0.1</v>
      </c>
      <c r="H12" s="59">
        <v>1</v>
      </c>
      <c r="I12" s="59">
        <v>9</v>
      </c>
      <c r="J12" s="59">
        <v>7</v>
      </c>
      <c r="K12" s="59">
        <v>83</v>
      </c>
      <c r="N12" s="59" t="s">
        <v>122</v>
      </c>
      <c r="O12" s="26">
        <v>2015</v>
      </c>
      <c r="P12" s="59" t="s">
        <v>79</v>
      </c>
      <c r="Q12" s="59" t="s">
        <v>83</v>
      </c>
      <c r="R12" s="59" t="s">
        <v>53</v>
      </c>
      <c r="S12" s="59" t="s">
        <v>281</v>
      </c>
      <c r="T12" s="59">
        <v>2</v>
      </c>
      <c r="U12" s="59">
        <v>16</v>
      </c>
      <c r="V12" s="59">
        <v>5</v>
      </c>
      <c r="W12" s="59">
        <v>157</v>
      </c>
      <c r="AD12" s="24"/>
      <c r="AE12" s="24"/>
      <c r="AF12" s="24"/>
      <c r="AG12" s="24"/>
    </row>
    <row r="13" spans="1:33" x14ac:dyDescent="0.25">
      <c r="B13" s="59" t="s">
        <v>241</v>
      </c>
      <c r="C13" s="23">
        <v>2014</v>
      </c>
      <c r="D13" s="23" t="s">
        <v>53</v>
      </c>
      <c r="E13" s="59" t="s">
        <v>281</v>
      </c>
      <c r="F13" s="59" t="s">
        <v>162</v>
      </c>
      <c r="G13" s="53" t="s">
        <v>94</v>
      </c>
      <c r="H13" s="59">
        <v>2</v>
      </c>
      <c r="I13" s="59">
        <v>9</v>
      </c>
      <c r="J13" s="59">
        <v>14</v>
      </c>
      <c r="K13" s="59">
        <v>77</v>
      </c>
      <c r="N13" s="59" t="s">
        <v>428</v>
      </c>
      <c r="O13" s="26">
        <v>2013</v>
      </c>
      <c r="P13" s="59" t="s">
        <v>79</v>
      </c>
      <c r="Q13" s="59" t="s">
        <v>347</v>
      </c>
      <c r="R13" s="59" t="s">
        <v>53</v>
      </c>
      <c r="S13" s="59" t="s">
        <v>281</v>
      </c>
      <c r="T13" s="59">
        <v>16</v>
      </c>
      <c r="U13" s="59">
        <v>7</v>
      </c>
      <c r="V13" s="59">
        <v>55</v>
      </c>
      <c r="W13" s="59">
        <v>101</v>
      </c>
      <c r="AA13" s="59" t="s">
        <v>24</v>
      </c>
      <c r="AD13" s="24"/>
      <c r="AE13" s="24"/>
      <c r="AF13" s="24"/>
      <c r="AG13" s="24"/>
    </row>
    <row r="14" spans="1:33" x14ac:dyDescent="0.25">
      <c r="B14" s="59" t="s">
        <v>36</v>
      </c>
      <c r="C14" s="23">
        <v>2018</v>
      </c>
      <c r="D14" s="23" t="s">
        <v>53</v>
      </c>
      <c r="E14" s="59" t="s">
        <v>281</v>
      </c>
      <c r="F14" s="59" t="s">
        <v>77</v>
      </c>
      <c r="G14" s="24">
        <v>0.13</v>
      </c>
      <c r="H14" s="59">
        <v>3</v>
      </c>
      <c r="I14" s="59">
        <v>41</v>
      </c>
      <c r="J14" s="59">
        <v>40</v>
      </c>
      <c r="K14" s="59">
        <v>316</v>
      </c>
      <c r="N14" s="59" t="s">
        <v>429</v>
      </c>
      <c r="O14" s="26">
        <v>2015</v>
      </c>
      <c r="P14" s="59" t="s">
        <v>79</v>
      </c>
      <c r="Q14" s="59" t="s">
        <v>258</v>
      </c>
      <c r="R14" s="59" t="s">
        <v>53</v>
      </c>
      <c r="S14" s="59" t="s">
        <v>151</v>
      </c>
      <c r="T14" s="59">
        <v>14</v>
      </c>
      <c r="U14" s="59">
        <v>9</v>
      </c>
      <c r="V14" s="59">
        <v>40</v>
      </c>
      <c r="W14" s="59">
        <v>100</v>
      </c>
      <c r="AA14" s="59" t="s">
        <v>10</v>
      </c>
      <c r="AB14" s="59" t="s">
        <v>0</v>
      </c>
      <c r="AC14" s="59" t="s">
        <v>176</v>
      </c>
      <c r="AD14" s="24" t="s">
        <v>170</v>
      </c>
      <c r="AE14" s="24" t="s">
        <v>171</v>
      </c>
      <c r="AF14" s="24" t="s">
        <v>172</v>
      </c>
      <c r="AG14" s="24" t="s">
        <v>173</v>
      </c>
    </row>
    <row r="15" spans="1:33" x14ac:dyDescent="0.25">
      <c r="B15" s="59" t="s">
        <v>123</v>
      </c>
      <c r="C15" s="23">
        <v>2012</v>
      </c>
      <c r="D15" s="23" t="s">
        <v>53</v>
      </c>
      <c r="E15" s="59" t="s">
        <v>151</v>
      </c>
      <c r="F15" s="59" t="s">
        <v>77</v>
      </c>
      <c r="G15" s="24" t="s">
        <v>94</v>
      </c>
      <c r="H15" s="59">
        <v>49</v>
      </c>
      <c r="I15" s="59">
        <v>45</v>
      </c>
      <c r="J15" s="59">
        <v>34</v>
      </c>
      <c r="K15" s="59">
        <v>472</v>
      </c>
      <c r="AA15" s="59" t="s">
        <v>40</v>
      </c>
      <c r="AB15" s="59">
        <v>2012</v>
      </c>
      <c r="AC15" s="59" t="s">
        <v>79</v>
      </c>
      <c r="AD15" s="24">
        <v>17</v>
      </c>
      <c r="AE15" s="24">
        <v>93</v>
      </c>
      <c r="AF15" s="24">
        <v>100</v>
      </c>
      <c r="AG15" s="24">
        <v>1000</v>
      </c>
    </row>
    <row r="16" spans="1:33" x14ac:dyDescent="0.25">
      <c r="B16" s="59" t="s">
        <v>431</v>
      </c>
      <c r="C16" s="23">
        <v>2017</v>
      </c>
      <c r="D16" s="59" t="s">
        <v>53</v>
      </c>
      <c r="E16" s="59" t="s">
        <v>281</v>
      </c>
      <c r="F16" s="59" t="s">
        <v>77</v>
      </c>
      <c r="G16" s="24" t="s">
        <v>94</v>
      </c>
      <c r="H16" s="59">
        <v>36</v>
      </c>
      <c r="I16" s="59">
        <v>18</v>
      </c>
      <c r="J16" s="59">
        <v>107</v>
      </c>
      <c r="K16" s="59">
        <v>288</v>
      </c>
      <c r="O16" s="26"/>
      <c r="AA16" s="59" t="s">
        <v>40</v>
      </c>
      <c r="AB16" s="59">
        <v>2012</v>
      </c>
      <c r="AC16" s="59" t="s">
        <v>180</v>
      </c>
      <c r="AD16" s="24">
        <v>21</v>
      </c>
      <c r="AE16" s="24">
        <v>172</v>
      </c>
      <c r="AF16" s="24">
        <v>100</v>
      </c>
      <c r="AG16" s="24">
        <v>1000</v>
      </c>
    </row>
    <row r="17" spans="2:33" x14ac:dyDescent="0.25">
      <c r="B17" s="59" t="s">
        <v>40</v>
      </c>
      <c r="C17" s="23">
        <v>2012</v>
      </c>
      <c r="D17" s="23" t="s">
        <v>53</v>
      </c>
      <c r="E17" s="59" t="s">
        <v>281</v>
      </c>
      <c r="F17" s="59" t="s">
        <v>359</v>
      </c>
      <c r="G17" s="24" t="s">
        <v>94</v>
      </c>
      <c r="H17" s="59">
        <v>10</v>
      </c>
      <c r="I17" s="59">
        <v>107</v>
      </c>
      <c r="J17" s="59">
        <v>41</v>
      </c>
      <c r="K17" s="59">
        <v>842</v>
      </c>
      <c r="O17" s="26"/>
      <c r="AA17" s="59" t="s">
        <v>122</v>
      </c>
      <c r="AB17" s="59">
        <v>2015</v>
      </c>
      <c r="AC17" s="59" t="s">
        <v>180</v>
      </c>
      <c r="AD17" s="24">
        <v>1</v>
      </c>
      <c r="AE17" s="24">
        <v>9</v>
      </c>
      <c r="AF17" s="24">
        <v>20</v>
      </c>
      <c r="AG17" s="24">
        <v>200</v>
      </c>
    </row>
    <row r="18" spans="2:33" x14ac:dyDescent="0.25">
      <c r="B18" s="59" t="s">
        <v>54</v>
      </c>
      <c r="C18" s="23">
        <v>2012</v>
      </c>
      <c r="D18" s="23" t="s">
        <v>53</v>
      </c>
      <c r="E18" s="59" t="s">
        <v>281</v>
      </c>
      <c r="F18" s="59" t="s">
        <v>77</v>
      </c>
      <c r="G18" s="24" t="s">
        <v>94</v>
      </c>
      <c r="H18" s="59">
        <v>12</v>
      </c>
      <c r="I18" s="59">
        <v>0</v>
      </c>
      <c r="J18" s="59">
        <v>61</v>
      </c>
      <c r="K18" s="59">
        <v>27</v>
      </c>
      <c r="N18" s="59" t="s">
        <v>123</v>
      </c>
      <c r="O18" s="26">
        <v>2012</v>
      </c>
      <c r="P18" s="59" t="s">
        <v>79</v>
      </c>
      <c r="Q18" s="59" t="s">
        <v>347</v>
      </c>
      <c r="R18" s="59" t="s">
        <v>55</v>
      </c>
      <c r="S18" s="59" t="s">
        <v>151</v>
      </c>
      <c r="T18" s="59">
        <v>32</v>
      </c>
      <c r="U18" s="59">
        <v>20</v>
      </c>
      <c r="V18" s="59">
        <v>36</v>
      </c>
      <c r="W18" s="59">
        <v>418</v>
      </c>
      <c r="AA18" s="59" t="s">
        <v>122</v>
      </c>
      <c r="AB18" s="59">
        <v>2015</v>
      </c>
      <c r="AC18" s="59" t="s">
        <v>79</v>
      </c>
      <c r="AD18" s="24">
        <v>2</v>
      </c>
      <c r="AE18" s="24">
        <v>9</v>
      </c>
      <c r="AF18" s="24">
        <v>20</v>
      </c>
      <c r="AG18" s="24">
        <v>200</v>
      </c>
    </row>
    <row r="19" spans="2:33" x14ac:dyDescent="0.25">
      <c r="B19" s="59" t="s">
        <v>260</v>
      </c>
      <c r="C19" s="23">
        <v>2006</v>
      </c>
      <c r="D19" s="23" t="s">
        <v>53</v>
      </c>
      <c r="E19" s="59" t="s">
        <v>281</v>
      </c>
      <c r="F19" s="59" t="s">
        <v>77</v>
      </c>
      <c r="G19" s="59">
        <v>7.0000000000000007E-2</v>
      </c>
      <c r="H19" s="59">
        <v>11</v>
      </c>
      <c r="I19" s="59">
        <v>131</v>
      </c>
      <c r="J19" s="59">
        <v>23</v>
      </c>
      <c r="K19" s="59">
        <f>885-SUM(H19:J19)</f>
        <v>720</v>
      </c>
      <c r="N19" s="59" t="s">
        <v>431</v>
      </c>
      <c r="O19" s="26">
        <v>2017</v>
      </c>
      <c r="P19" s="59" t="s">
        <v>79</v>
      </c>
      <c r="Q19" s="59" t="s">
        <v>347</v>
      </c>
      <c r="R19" s="59" t="s">
        <v>55</v>
      </c>
      <c r="S19" s="59" t="s">
        <v>281</v>
      </c>
      <c r="T19" s="59">
        <v>24</v>
      </c>
      <c r="U19" s="59">
        <v>27</v>
      </c>
      <c r="V19" s="59">
        <v>123</v>
      </c>
      <c r="W19" s="59">
        <v>272</v>
      </c>
      <c r="AA19" s="59" t="s">
        <v>123</v>
      </c>
      <c r="AB19" s="59">
        <v>2012</v>
      </c>
      <c r="AC19" s="59" t="s">
        <v>79</v>
      </c>
      <c r="AD19" s="24">
        <v>32</v>
      </c>
      <c r="AE19" s="24">
        <v>93</v>
      </c>
      <c r="AF19" s="24">
        <v>52</v>
      </c>
      <c r="AG19" s="24">
        <v>600</v>
      </c>
    </row>
    <row r="20" spans="2:33" x14ac:dyDescent="0.25">
      <c r="B20" s="59" t="s">
        <v>207</v>
      </c>
      <c r="C20" s="23">
        <v>1996</v>
      </c>
      <c r="D20" s="23" t="s">
        <v>53</v>
      </c>
      <c r="E20" s="59" t="s">
        <v>281</v>
      </c>
      <c r="F20" s="59" t="s">
        <v>77</v>
      </c>
      <c r="G20" s="24" t="s">
        <v>94</v>
      </c>
      <c r="H20" s="59">
        <v>26</v>
      </c>
      <c r="I20" s="59">
        <v>4</v>
      </c>
      <c r="J20" s="59">
        <v>13</v>
      </c>
      <c r="K20" s="59">
        <v>104</v>
      </c>
      <c r="N20" s="59" t="s">
        <v>40</v>
      </c>
      <c r="O20" s="26">
        <v>2012</v>
      </c>
      <c r="P20" s="59" t="s">
        <v>79</v>
      </c>
      <c r="Q20" s="59" t="s">
        <v>351</v>
      </c>
      <c r="R20" s="59" t="s">
        <v>55</v>
      </c>
      <c r="S20" s="59" t="s">
        <v>281</v>
      </c>
      <c r="T20" s="59">
        <v>17</v>
      </c>
      <c r="U20" s="59">
        <v>62</v>
      </c>
      <c r="V20" s="59">
        <v>61</v>
      </c>
      <c r="W20" s="59">
        <v>722</v>
      </c>
      <c r="AA20" s="59" t="s">
        <v>150</v>
      </c>
      <c r="AB20" s="59">
        <v>2005</v>
      </c>
      <c r="AC20" s="59" t="s">
        <v>79</v>
      </c>
      <c r="AD20" s="24">
        <v>6</v>
      </c>
      <c r="AE20" s="24">
        <v>88</v>
      </c>
      <c r="AF20" s="24">
        <v>27</v>
      </c>
      <c r="AG20" s="24">
        <v>294</v>
      </c>
    </row>
    <row r="21" spans="2:33" x14ac:dyDescent="0.25">
      <c r="B21" s="59" t="s">
        <v>208</v>
      </c>
      <c r="C21" s="23">
        <v>2000</v>
      </c>
      <c r="D21" s="23" t="s">
        <v>53</v>
      </c>
      <c r="E21" s="59" t="s">
        <v>281</v>
      </c>
      <c r="F21" s="59" t="s">
        <v>77</v>
      </c>
      <c r="G21" s="59">
        <v>0.17</v>
      </c>
      <c r="H21" s="59">
        <v>0</v>
      </c>
      <c r="I21" s="59">
        <v>62</v>
      </c>
      <c r="J21" s="59">
        <v>8</v>
      </c>
      <c r="K21" s="59">
        <v>587</v>
      </c>
      <c r="N21" s="59" t="s">
        <v>40</v>
      </c>
      <c r="O21" s="26">
        <v>2012</v>
      </c>
      <c r="P21" s="59" t="s">
        <v>177</v>
      </c>
      <c r="R21" s="59" t="s">
        <v>55</v>
      </c>
      <c r="S21" s="59" t="s">
        <v>281</v>
      </c>
      <c r="T21" s="59">
        <v>21</v>
      </c>
      <c r="U21" s="59">
        <v>62</v>
      </c>
      <c r="V21" s="59">
        <v>127</v>
      </c>
      <c r="W21" s="59">
        <v>656</v>
      </c>
    </row>
    <row r="22" spans="2:33" x14ac:dyDescent="0.25">
      <c r="B22" s="59" t="s">
        <v>182</v>
      </c>
      <c r="C22" s="23">
        <v>2006</v>
      </c>
      <c r="D22" s="23" t="s">
        <v>53</v>
      </c>
      <c r="E22" s="59" t="s">
        <v>281</v>
      </c>
      <c r="F22" s="59" t="s">
        <v>77</v>
      </c>
      <c r="G22" s="59">
        <v>0.17</v>
      </c>
      <c r="H22" s="59">
        <v>15</v>
      </c>
      <c r="I22" s="59">
        <v>63</v>
      </c>
      <c r="J22" s="59">
        <v>28</v>
      </c>
      <c r="K22" s="59">
        <v>593</v>
      </c>
      <c r="N22" s="59" t="s">
        <v>208</v>
      </c>
      <c r="O22" s="26">
        <v>2000</v>
      </c>
      <c r="P22" s="59" t="s">
        <v>83</v>
      </c>
      <c r="Q22" s="59" t="s">
        <v>83</v>
      </c>
      <c r="R22" s="59" t="s">
        <v>55</v>
      </c>
      <c r="S22" s="59" t="s">
        <v>281</v>
      </c>
      <c r="T22" s="59">
        <v>11</v>
      </c>
      <c r="U22" s="59">
        <v>57</v>
      </c>
      <c r="V22" s="59">
        <v>17</v>
      </c>
      <c r="W22" s="59">
        <v>490</v>
      </c>
    </row>
    <row r="23" spans="2:33" x14ac:dyDescent="0.25">
      <c r="B23" s="59" t="s">
        <v>428</v>
      </c>
      <c r="C23" s="23">
        <v>2013</v>
      </c>
      <c r="D23" s="23" t="s">
        <v>53</v>
      </c>
      <c r="E23" s="59" t="s">
        <v>281</v>
      </c>
      <c r="F23" s="59" t="s">
        <v>77</v>
      </c>
      <c r="G23" s="59">
        <v>0.06</v>
      </c>
      <c r="H23" s="59">
        <v>7</v>
      </c>
      <c r="I23" s="59">
        <v>16</v>
      </c>
      <c r="J23" s="59">
        <v>19</v>
      </c>
      <c r="K23" s="59">
        <v>137</v>
      </c>
      <c r="N23" s="59" t="s">
        <v>208</v>
      </c>
      <c r="O23" s="26">
        <v>2000</v>
      </c>
      <c r="P23" s="59" t="s">
        <v>177</v>
      </c>
      <c r="R23" s="59" t="s">
        <v>55</v>
      </c>
      <c r="S23" s="59" t="s">
        <v>281</v>
      </c>
      <c r="T23" s="59">
        <v>4</v>
      </c>
      <c r="U23" s="59">
        <v>64</v>
      </c>
      <c r="V23" s="59">
        <v>22</v>
      </c>
      <c r="W23" s="59">
        <v>505</v>
      </c>
    </row>
    <row r="24" spans="2:33" x14ac:dyDescent="0.25">
      <c r="B24" s="59" t="s">
        <v>99</v>
      </c>
      <c r="C24" s="23">
        <v>1995</v>
      </c>
      <c r="D24" s="23" t="s">
        <v>53</v>
      </c>
      <c r="E24" s="59" t="s">
        <v>281</v>
      </c>
      <c r="F24" s="59" t="s">
        <v>77</v>
      </c>
      <c r="G24" s="59">
        <v>6.5000000000000002E-2</v>
      </c>
      <c r="H24" s="59">
        <v>2</v>
      </c>
      <c r="I24" s="59">
        <v>61</v>
      </c>
      <c r="J24" s="59">
        <v>14</v>
      </c>
      <c r="K24" s="59">
        <v>558</v>
      </c>
      <c r="N24" s="59" t="s">
        <v>427</v>
      </c>
      <c r="O24" s="26">
        <v>2011</v>
      </c>
      <c r="P24" s="59" t="s">
        <v>79</v>
      </c>
      <c r="Q24" s="59" t="s">
        <v>83</v>
      </c>
      <c r="R24" s="59" t="s">
        <v>55</v>
      </c>
      <c r="S24" s="59" t="s">
        <v>151</v>
      </c>
      <c r="T24" s="59">
        <v>3</v>
      </c>
      <c r="U24" s="59">
        <v>21</v>
      </c>
      <c r="V24" s="59">
        <v>19</v>
      </c>
      <c r="W24" s="59">
        <v>163</v>
      </c>
    </row>
    <row r="25" spans="2:33" ht="15" customHeight="1" x14ac:dyDescent="0.3">
      <c r="B25" s="59" t="s">
        <v>241</v>
      </c>
      <c r="C25" s="23">
        <v>2014</v>
      </c>
      <c r="D25" s="23" t="s">
        <v>53</v>
      </c>
      <c r="E25" s="59" t="s">
        <v>281</v>
      </c>
      <c r="F25" s="59" t="s">
        <v>77</v>
      </c>
      <c r="G25" s="24" t="s">
        <v>94</v>
      </c>
      <c r="H25" s="59">
        <v>6</v>
      </c>
      <c r="I25" s="59">
        <v>5</v>
      </c>
      <c r="J25" s="59">
        <v>21</v>
      </c>
      <c r="K25" s="59">
        <v>70</v>
      </c>
      <c r="M25" s="63"/>
      <c r="N25" s="59" t="s">
        <v>122</v>
      </c>
      <c r="O25" s="26">
        <v>2015</v>
      </c>
      <c r="P25" s="59" t="s">
        <v>177</v>
      </c>
      <c r="R25" s="59" t="s">
        <v>55</v>
      </c>
      <c r="S25" s="59" t="s">
        <v>281</v>
      </c>
      <c r="T25" s="59">
        <v>1</v>
      </c>
      <c r="U25" s="59">
        <v>19</v>
      </c>
      <c r="V25" s="59">
        <v>5</v>
      </c>
      <c r="W25" s="59">
        <v>157</v>
      </c>
    </row>
    <row r="26" spans="2:33" x14ac:dyDescent="0.25">
      <c r="N26" s="59" t="s">
        <v>122</v>
      </c>
      <c r="O26" s="26">
        <v>2015</v>
      </c>
      <c r="P26" s="59" t="s">
        <v>79</v>
      </c>
      <c r="Q26" s="59" t="s">
        <v>83</v>
      </c>
      <c r="R26" s="59" t="s">
        <v>55</v>
      </c>
      <c r="S26" s="59" t="s">
        <v>281</v>
      </c>
      <c r="T26" s="59">
        <v>2</v>
      </c>
      <c r="U26" s="59">
        <v>18</v>
      </c>
      <c r="V26" s="59">
        <v>5</v>
      </c>
      <c r="W26" s="59">
        <v>157</v>
      </c>
    </row>
    <row r="27" spans="2:33" x14ac:dyDescent="0.25">
      <c r="B27" s="59" t="s">
        <v>431</v>
      </c>
      <c r="C27" s="23">
        <v>2017</v>
      </c>
      <c r="D27" s="23" t="s">
        <v>53</v>
      </c>
      <c r="E27" s="59" t="s">
        <v>281</v>
      </c>
      <c r="F27" s="59" t="s">
        <v>78</v>
      </c>
      <c r="G27" s="24" t="s">
        <v>94</v>
      </c>
      <c r="H27" s="59">
        <v>35</v>
      </c>
      <c r="I27" s="59">
        <v>19</v>
      </c>
      <c r="J27" s="59">
        <v>105</v>
      </c>
      <c r="K27" s="59">
        <v>290</v>
      </c>
      <c r="N27" s="59" t="s">
        <v>428</v>
      </c>
      <c r="O27" s="26">
        <v>2013</v>
      </c>
      <c r="P27" s="59" t="s">
        <v>79</v>
      </c>
      <c r="Q27" s="59" t="s">
        <v>347</v>
      </c>
      <c r="R27" s="59" t="s">
        <v>55</v>
      </c>
      <c r="S27" s="59" t="s">
        <v>281</v>
      </c>
      <c r="T27" s="59">
        <v>8</v>
      </c>
      <c r="U27" s="59">
        <v>13</v>
      </c>
      <c r="V27" s="59">
        <v>55</v>
      </c>
      <c r="W27" s="59">
        <v>101</v>
      </c>
    </row>
    <row r="28" spans="2:33" x14ac:dyDescent="0.25">
      <c r="B28" s="59" t="s">
        <v>54</v>
      </c>
      <c r="C28" s="23">
        <v>2012</v>
      </c>
      <c r="D28" s="23" t="s">
        <v>53</v>
      </c>
      <c r="E28" s="59" t="s">
        <v>281</v>
      </c>
      <c r="F28" s="42" t="s">
        <v>349</v>
      </c>
      <c r="G28" s="24" t="s">
        <v>94</v>
      </c>
      <c r="H28" s="59">
        <v>12</v>
      </c>
      <c r="I28" s="59">
        <v>0</v>
      </c>
      <c r="J28" s="59">
        <v>23</v>
      </c>
      <c r="K28" s="59">
        <v>65</v>
      </c>
      <c r="N28" s="59" t="s">
        <v>429</v>
      </c>
      <c r="O28" s="26">
        <v>2015</v>
      </c>
      <c r="P28" s="59" t="s">
        <v>79</v>
      </c>
      <c r="Q28" s="59" t="s">
        <v>258</v>
      </c>
      <c r="R28" s="59" t="s">
        <v>55</v>
      </c>
      <c r="S28" s="59" t="s">
        <v>151</v>
      </c>
      <c r="T28" s="59">
        <v>10</v>
      </c>
      <c r="U28" s="59">
        <v>4</v>
      </c>
      <c r="V28" s="59">
        <v>40</v>
      </c>
      <c r="W28" s="59">
        <v>100</v>
      </c>
    </row>
    <row r="29" spans="2:33" x14ac:dyDescent="0.25">
      <c r="B29" s="59" t="s">
        <v>207</v>
      </c>
      <c r="C29" s="23">
        <v>1996</v>
      </c>
      <c r="D29" s="23" t="s">
        <v>53</v>
      </c>
      <c r="E29" s="59" t="s">
        <v>281</v>
      </c>
      <c r="F29" s="59" t="s">
        <v>78</v>
      </c>
      <c r="G29" s="24" t="s">
        <v>94</v>
      </c>
      <c r="H29" s="59">
        <v>9</v>
      </c>
      <c r="I29" s="59">
        <v>21</v>
      </c>
      <c r="J29" s="59">
        <v>9</v>
      </c>
      <c r="K29" s="59">
        <v>108</v>
      </c>
    </row>
    <row r="30" spans="2:33" x14ac:dyDescent="0.25">
      <c r="B30" s="59" t="s">
        <v>46</v>
      </c>
      <c r="C30" s="23">
        <v>2014</v>
      </c>
      <c r="D30" s="23" t="s">
        <v>53</v>
      </c>
      <c r="E30" s="59" t="s">
        <v>281</v>
      </c>
      <c r="F30" s="59" t="s">
        <v>78</v>
      </c>
      <c r="G30" s="59">
        <v>0.1</v>
      </c>
      <c r="H30" s="59">
        <v>4</v>
      </c>
      <c r="I30" s="59">
        <v>104</v>
      </c>
      <c r="J30" s="59">
        <v>30</v>
      </c>
      <c r="K30" s="59">
        <f>1082-146</f>
        <v>936</v>
      </c>
    </row>
    <row r="31" spans="2:33" x14ac:dyDescent="0.25">
      <c r="B31" s="59" t="s">
        <v>427</v>
      </c>
      <c r="C31" s="23">
        <v>2011</v>
      </c>
      <c r="D31" s="23" t="s">
        <v>53</v>
      </c>
      <c r="E31" s="59" t="s">
        <v>151</v>
      </c>
      <c r="F31" s="59" t="s">
        <v>78</v>
      </c>
      <c r="G31" s="59">
        <v>0.27</v>
      </c>
      <c r="H31" s="59">
        <v>6</v>
      </c>
      <c r="I31" s="59">
        <v>14</v>
      </c>
      <c r="J31" s="59">
        <v>31</v>
      </c>
      <c r="K31" s="59">
        <v>151</v>
      </c>
    </row>
    <row r="32" spans="2:33" x14ac:dyDescent="0.25">
      <c r="B32" s="59" t="s">
        <v>122</v>
      </c>
      <c r="C32" s="23">
        <v>2015</v>
      </c>
      <c r="D32" s="23" t="s">
        <v>53</v>
      </c>
      <c r="E32" s="59" t="s">
        <v>281</v>
      </c>
      <c r="F32" s="59" t="s">
        <v>353</v>
      </c>
      <c r="G32" s="59">
        <v>0.26</v>
      </c>
      <c r="H32" s="59">
        <v>0</v>
      </c>
      <c r="I32" s="59">
        <v>18</v>
      </c>
      <c r="J32" s="59">
        <v>2</v>
      </c>
      <c r="K32" s="59">
        <v>180</v>
      </c>
    </row>
    <row r="33" spans="2:17" x14ac:dyDescent="0.25">
      <c r="B33" s="59" t="s">
        <v>36</v>
      </c>
      <c r="C33" s="23">
        <v>2018</v>
      </c>
      <c r="D33" s="23" t="s">
        <v>53</v>
      </c>
      <c r="E33" s="59" t="s">
        <v>281</v>
      </c>
      <c r="F33" s="59" t="s">
        <v>23</v>
      </c>
      <c r="G33" s="59">
        <v>0.13</v>
      </c>
      <c r="H33" s="59">
        <v>4</v>
      </c>
      <c r="I33" s="59">
        <v>40</v>
      </c>
      <c r="J33" s="59">
        <v>40</v>
      </c>
      <c r="K33" s="59">
        <v>311</v>
      </c>
    </row>
    <row r="34" spans="2:17" x14ac:dyDescent="0.25">
      <c r="B34" s="59" t="s">
        <v>54</v>
      </c>
      <c r="C34" s="23">
        <v>2012</v>
      </c>
      <c r="D34" s="23" t="s">
        <v>53</v>
      </c>
      <c r="E34" s="59" t="s">
        <v>281</v>
      </c>
      <c r="F34" s="42" t="s">
        <v>23</v>
      </c>
      <c r="G34" s="53" t="s">
        <v>94</v>
      </c>
      <c r="H34" s="59">
        <v>4</v>
      </c>
      <c r="I34" s="59">
        <v>8</v>
      </c>
      <c r="J34" s="59">
        <v>14</v>
      </c>
      <c r="K34" s="59">
        <v>74</v>
      </c>
    </row>
    <row r="35" spans="2:17" x14ac:dyDescent="0.25">
      <c r="B35" s="59" t="s">
        <v>430</v>
      </c>
      <c r="C35" s="23">
        <v>2016</v>
      </c>
      <c r="D35" s="23" t="s">
        <v>53</v>
      </c>
      <c r="E35" s="59" t="s">
        <v>281</v>
      </c>
      <c r="F35" s="59" t="s">
        <v>23</v>
      </c>
      <c r="G35" s="59">
        <v>0.09</v>
      </c>
      <c r="H35" s="59">
        <v>8</v>
      </c>
      <c r="I35" s="59">
        <v>8</v>
      </c>
      <c r="J35" s="59">
        <v>15</v>
      </c>
      <c r="K35" s="59">
        <v>136</v>
      </c>
    </row>
    <row r="36" spans="2:17" x14ac:dyDescent="0.25">
      <c r="B36" s="59" t="s">
        <v>46</v>
      </c>
      <c r="C36" s="23">
        <v>2014</v>
      </c>
      <c r="D36" s="23" t="s">
        <v>53</v>
      </c>
      <c r="E36" s="59" t="s">
        <v>281</v>
      </c>
      <c r="F36" s="42" t="s">
        <v>23</v>
      </c>
      <c r="G36" s="31">
        <v>0.1</v>
      </c>
      <c r="H36" s="59">
        <v>5</v>
      </c>
      <c r="I36" s="59">
        <v>103</v>
      </c>
      <c r="J36" s="59">
        <v>61</v>
      </c>
      <c r="K36" s="59">
        <v>913</v>
      </c>
    </row>
    <row r="37" spans="2:17" x14ac:dyDescent="0.25">
      <c r="B37" s="59" t="s">
        <v>427</v>
      </c>
      <c r="C37" s="23">
        <v>2011</v>
      </c>
      <c r="D37" s="23" t="s">
        <v>53</v>
      </c>
      <c r="E37" s="59" t="s">
        <v>151</v>
      </c>
      <c r="F37" s="59" t="s">
        <v>23</v>
      </c>
      <c r="G37" s="59">
        <v>0.27</v>
      </c>
      <c r="H37" s="59">
        <v>6</v>
      </c>
      <c r="I37" s="59">
        <v>14</v>
      </c>
      <c r="J37" s="59">
        <v>12</v>
      </c>
      <c r="K37" s="59">
        <v>170</v>
      </c>
    </row>
    <row r="38" spans="2:17" x14ac:dyDescent="0.25">
      <c r="B38" s="59" t="s">
        <v>122</v>
      </c>
      <c r="C38" s="23">
        <v>2015</v>
      </c>
      <c r="D38" s="23" t="s">
        <v>53</v>
      </c>
      <c r="E38" s="59" t="s">
        <v>281</v>
      </c>
      <c r="F38" s="42" t="s">
        <v>23</v>
      </c>
      <c r="G38" s="59">
        <v>0.26</v>
      </c>
      <c r="H38" s="59">
        <v>0</v>
      </c>
      <c r="I38" s="59">
        <v>18</v>
      </c>
      <c r="J38" s="59">
        <v>3</v>
      </c>
      <c r="K38" s="59">
        <v>179</v>
      </c>
      <c r="P38" s="42"/>
      <c r="Q38" s="42"/>
    </row>
    <row r="39" spans="2:17" x14ac:dyDescent="0.25">
      <c r="B39" s="59" t="s">
        <v>428</v>
      </c>
      <c r="C39" s="23">
        <v>2013</v>
      </c>
      <c r="D39" s="23" t="s">
        <v>53</v>
      </c>
      <c r="E39" s="59" t="s">
        <v>281</v>
      </c>
      <c r="F39" s="42" t="s">
        <v>23</v>
      </c>
      <c r="G39" s="59">
        <v>0.06</v>
      </c>
      <c r="H39" s="59">
        <v>10</v>
      </c>
      <c r="I39" s="59">
        <v>13</v>
      </c>
      <c r="J39" s="59">
        <v>19</v>
      </c>
      <c r="K39" s="59">
        <v>137</v>
      </c>
    </row>
    <row r="40" spans="2:17" x14ac:dyDescent="0.25">
      <c r="B40" s="59" t="s">
        <v>123</v>
      </c>
      <c r="C40" s="23">
        <v>2012</v>
      </c>
      <c r="D40" s="23" t="s">
        <v>53</v>
      </c>
      <c r="E40" s="59" t="s">
        <v>151</v>
      </c>
      <c r="F40" s="59" t="s">
        <v>163</v>
      </c>
      <c r="G40" s="24" t="s">
        <v>94</v>
      </c>
      <c r="H40" s="59">
        <v>71</v>
      </c>
      <c r="I40" s="59">
        <v>23</v>
      </c>
      <c r="J40" s="59">
        <v>64</v>
      </c>
      <c r="K40" s="59">
        <v>442</v>
      </c>
    </row>
    <row r="41" spans="2:17" x14ac:dyDescent="0.25">
      <c r="B41" s="59" t="s">
        <v>431</v>
      </c>
      <c r="C41" s="23">
        <v>2017</v>
      </c>
      <c r="D41" s="23" t="s">
        <v>53</v>
      </c>
      <c r="E41" s="59" t="s">
        <v>433</v>
      </c>
      <c r="F41" s="42" t="s">
        <v>163</v>
      </c>
      <c r="G41" s="24" t="s">
        <v>94</v>
      </c>
      <c r="H41" s="59">
        <v>12</v>
      </c>
      <c r="I41" s="59">
        <v>42</v>
      </c>
      <c r="J41" s="59">
        <v>107</v>
      </c>
      <c r="K41" s="59">
        <v>288</v>
      </c>
    </row>
    <row r="42" spans="2:17" x14ac:dyDescent="0.25">
      <c r="B42" s="59" t="s">
        <v>40</v>
      </c>
      <c r="C42" s="23">
        <v>2012</v>
      </c>
      <c r="D42" s="23" t="s">
        <v>53</v>
      </c>
      <c r="E42" s="59" t="s">
        <v>281</v>
      </c>
      <c r="F42" s="59" t="s">
        <v>163</v>
      </c>
      <c r="G42" s="24" t="s">
        <v>94</v>
      </c>
      <c r="H42" s="59">
        <v>37</v>
      </c>
      <c r="I42" s="59">
        <v>74</v>
      </c>
      <c r="J42" s="59">
        <v>201</v>
      </c>
      <c r="K42" s="59">
        <v>649</v>
      </c>
    </row>
    <row r="43" spans="2:17" x14ac:dyDescent="0.25">
      <c r="B43" s="59" t="s">
        <v>430</v>
      </c>
      <c r="C43" s="23">
        <v>2016</v>
      </c>
      <c r="D43" s="23" t="s">
        <v>53</v>
      </c>
      <c r="E43" s="59" t="s">
        <v>281</v>
      </c>
      <c r="F43" s="59" t="s">
        <v>163</v>
      </c>
      <c r="G43" s="59">
        <v>0.09</v>
      </c>
      <c r="H43" s="59">
        <v>12</v>
      </c>
      <c r="I43" s="59">
        <v>4</v>
      </c>
      <c r="J43" s="59">
        <v>19</v>
      </c>
      <c r="K43" s="59">
        <v>132</v>
      </c>
    </row>
    <row r="44" spans="2:17" x14ac:dyDescent="0.25">
      <c r="B44" s="59" t="s">
        <v>427</v>
      </c>
      <c r="C44" s="23">
        <v>2011</v>
      </c>
      <c r="D44" s="23" t="s">
        <v>53</v>
      </c>
      <c r="E44" s="59" t="s">
        <v>151</v>
      </c>
      <c r="F44" s="42" t="s">
        <v>163</v>
      </c>
      <c r="G44" s="59">
        <v>0.27</v>
      </c>
      <c r="H44" s="59">
        <v>8</v>
      </c>
      <c r="I44" s="59">
        <v>12</v>
      </c>
      <c r="J44" s="59">
        <v>18</v>
      </c>
      <c r="K44" s="59">
        <v>164</v>
      </c>
    </row>
    <row r="45" spans="2:17" x14ac:dyDescent="0.25">
      <c r="B45" s="59" t="s">
        <v>182</v>
      </c>
      <c r="C45" s="23">
        <v>2006</v>
      </c>
      <c r="D45" s="23" t="s">
        <v>53</v>
      </c>
      <c r="E45" s="59" t="s">
        <v>281</v>
      </c>
      <c r="F45" s="59" t="s">
        <v>163</v>
      </c>
      <c r="G45" s="59">
        <v>0.17</v>
      </c>
      <c r="H45" s="59">
        <v>7</v>
      </c>
      <c r="I45" s="59">
        <v>71</v>
      </c>
      <c r="J45" s="59">
        <v>33</v>
      </c>
      <c r="K45" s="59">
        <v>588</v>
      </c>
    </row>
    <row r="46" spans="2:17" x14ac:dyDescent="0.25">
      <c r="B46" s="59" t="s">
        <v>122</v>
      </c>
      <c r="C46" s="23">
        <v>2015</v>
      </c>
      <c r="D46" s="23" t="s">
        <v>53</v>
      </c>
      <c r="E46" s="59" t="s">
        <v>281</v>
      </c>
      <c r="F46" s="59" t="s">
        <v>163</v>
      </c>
      <c r="G46" s="59">
        <v>0.26</v>
      </c>
      <c r="H46" s="59">
        <v>3</v>
      </c>
      <c r="I46" s="59">
        <v>15</v>
      </c>
      <c r="J46" s="59">
        <v>9</v>
      </c>
      <c r="K46" s="59">
        <v>173</v>
      </c>
    </row>
    <row r="47" spans="2:17" x14ac:dyDescent="0.25">
      <c r="B47" s="59" t="s">
        <v>241</v>
      </c>
      <c r="C47" s="23">
        <v>2014</v>
      </c>
      <c r="D47" s="23" t="s">
        <v>53</v>
      </c>
      <c r="E47" s="59" t="s">
        <v>281</v>
      </c>
      <c r="F47" s="59" t="s">
        <v>163</v>
      </c>
      <c r="G47" s="24" t="s">
        <v>94</v>
      </c>
      <c r="H47" s="59">
        <v>6</v>
      </c>
      <c r="I47" s="59">
        <v>5</v>
      </c>
      <c r="J47" s="59">
        <v>43</v>
      </c>
      <c r="K47" s="59">
        <v>48</v>
      </c>
    </row>
    <row r="48" spans="2:17" x14ac:dyDescent="0.25">
      <c r="B48" s="59" t="s">
        <v>36</v>
      </c>
      <c r="C48" s="23">
        <v>2018</v>
      </c>
      <c r="D48" s="23" t="s">
        <v>53</v>
      </c>
      <c r="E48" s="59" t="s">
        <v>281</v>
      </c>
      <c r="F48" s="59" t="s">
        <v>35</v>
      </c>
      <c r="G48" s="59">
        <v>0.13</v>
      </c>
      <c r="H48" s="59">
        <v>1</v>
      </c>
      <c r="I48" s="59">
        <v>43</v>
      </c>
      <c r="J48" s="59">
        <v>36</v>
      </c>
      <c r="K48" s="59">
        <v>315</v>
      </c>
    </row>
    <row r="49" spans="2:11" x14ac:dyDescent="0.25">
      <c r="B49" s="59" t="s">
        <v>431</v>
      </c>
      <c r="C49" s="23">
        <v>2017</v>
      </c>
      <c r="D49" s="23" t="s">
        <v>53</v>
      </c>
      <c r="E49" s="59" t="s">
        <v>281</v>
      </c>
      <c r="F49" s="59" t="s">
        <v>18</v>
      </c>
      <c r="H49" s="59">
        <v>0</v>
      </c>
      <c r="I49" s="59">
        <v>54</v>
      </c>
      <c r="J49" s="59">
        <v>1</v>
      </c>
      <c r="K49" s="59">
        <v>394</v>
      </c>
    </row>
    <row r="50" spans="2:11" x14ac:dyDescent="0.25">
      <c r="B50" s="59" t="s">
        <v>260</v>
      </c>
      <c r="C50" s="23">
        <v>2006</v>
      </c>
      <c r="D50" s="23" t="s">
        <v>53</v>
      </c>
      <c r="E50" s="59" t="s">
        <v>151</v>
      </c>
      <c r="F50" s="59" t="s">
        <v>35</v>
      </c>
      <c r="G50" s="59" t="s">
        <v>94</v>
      </c>
      <c r="H50" s="59">
        <v>3</v>
      </c>
      <c r="I50" s="59">
        <v>3</v>
      </c>
      <c r="J50" s="59">
        <v>10</v>
      </c>
      <c r="K50" s="59">
        <v>65</v>
      </c>
    </row>
    <row r="51" spans="2:11" x14ac:dyDescent="0.25">
      <c r="B51" s="59" t="s">
        <v>54</v>
      </c>
      <c r="C51" s="23">
        <v>2012</v>
      </c>
      <c r="D51" s="23" t="s">
        <v>53</v>
      </c>
      <c r="E51" s="59" t="s">
        <v>281</v>
      </c>
      <c r="F51" s="59" t="s">
        <v>18</v>
      </c>
      <c r="G51" s="59" t="s">
        <v>355</v>
      </c>
      <c r="H51" s="59">
        <v>1</v>
      </c>
      <c r="I51" s="59">
        <v>11</v>
      </c>
      <c r="J51" s="59">
        <v>47</v>
      </c>
      <c r="K51" s="59">
        <v>41</v>
      </c>
    </row>
    <row r="52" spans="2:11" x14ac:dyDescent="0.25">
      <c r="B52" s="59" t="s">
        <v>207</v>
      </c>
      <c r="C52" s="23">
        <v>1996</v>
      </c>
      <c r="D52" s="23" t="s">
        <v>53</v>
      </c>
      <c r="E52" s="59" t="s">
        <v>281</v>
      </c>
      <c r="F52" s="59" t="s">
        <v>329</v>
      </c>
      <c r="G52" s="59" t="s">
        <v>356</v>
      </c>
      <c r="H52" s="59">
        <v>1</v>
      </c>
      <c r="I52" s="59">
        <v>29</v>
      </c>
      <c r="J52" s="59">
        <v>5</v>
      </c>
      <c r="K52" s="59">
        <v>112</v>
      </c>
    </row>
    <row r="53" spans="2:11" x14ac:dyDescent="0.25">
      <c r="B53" s="59" t="s">
        <v>208</v>
      </c>
      <c r="C53" s="23">
        <v>2000</v>
      </c>
      <c r="D53" s="23" t="s">
        <v>53</v>
      </c>
      <c r="E53" s="59" t="s">
        <v>281</v>
      </c>
      <c r="F53" s="59" t="s">
        <v>262</v>
      </c>
      <c r="G53" s="59" t="s">
        <v>94</v>
      </c>
      <c r="H53" s="59">
        <v>1</v>
      </c>
      <c r="I53" s="59">
        <v>61</v>
      </c>
      <c r="J53" s="59">
        <v>7</v>
      </c>
      <c r="K53" s="59">
        <v>588</v>
      </c>
    </row>
    <row r="54" spans="2:11" x14ac:dyDescent="0.25">
      <c r="B54" s="59" t="s">
        <v>430</v>
      </c>
      <c r="C54" s="23">
        <v>2016</v>
      </c>
      <c r="D54" s="23" t="s">
        <v>53</v>
      </c>
      <c r="E54" s="59" t="s">
        <v>281</v>
      </c>
      <c r="F54" s="59" t="s">
        <v>18</v>
      </c>
      <c r="G54" s="59">
        <v>0.09</v>
      </c>
      <c r="H54" s="59">
        <v>11</v>
      </c>
      <c r="I54" s="59">
        <v>5</v>
      </c>
      <c r="J54" s="59">
        <v>12</v>
      </c>
      <c r="K54" s="59">
        <v>139</v>
      </c>
    </row>
    <row r="55" spans="2:11" x14ac:dyDescent="0.25">
      <c r="B55" s="59" t="s">
        <v>46</v>
      </c>
      <c r="C55" s="23">
        <v>2014</v>
      </c>
      <c r="D55" s="23" t="s">
        <v>53</v>
      </c>
      <c r="E55" s="59" t="s">
        <v>281</v>
      </c>
      <c r="F55" s="59" t="s">
        <v>35</v>
      </c>
      <c r="G55" s="59">
        <v>0.1</v>
      </c>
      <c r="H55" s="59">
        <v>10</v>
      </c>
      <c r="I55" s="59">
        <v>90</v>
      </c>
      <c r="J55" s="59">
        <v>98</v>
      </c>
      <c r="K55" s="59">
        <v>884</v>
      </c>
    </row>
    <row r="56" spans="2:11" x14ac:dyDescent="0.25">
      <c r="B56" s="59" t="s">
        <v>427</v>
      </c>
      <c r="C56" s="23">
        <v>2011</v>
      </c>
      <c r="D56" s="23" t="s">
        <v>53</v>
      </c>
      <c r="E56" s="59" t="s">
        <v>151</v>
      </c>
      <c r="F56" s="59" t="s">
        <v>18</v>
      </c>
      <c r="G56" s="59">
        <v>0.27</v>
      </c>
      <c r="H56" s="59">
        <v>4</v>
      </c>
      <c r="I56" s="59">
        <v>16</v>
      </c>
      <c r="J56" s="59">
        <v>17</v>
      </c>
      <c r="K56" s="59">
        <v>165</v>
      </c>
    </row>
    <row r="57" spans="2:11" x14ac:dyDescent="0.25">
      <c r="B57" s="59" t="s">
        <v>214</v>
      </c>
      <c r="C57" s="23">
        <v>2000</v>
      </c>
      <c r="D57" s="23" t="s">
        <v>53</v>
      </c>
      <c r="E57" s="59" t="s">
        <v>281</v>
      </c>
      <c r="F57" s="59" t="s">
        <v>18</v>
      </c>
      <c r="H57" s="59">
        <v>27</v>
      </c>
      <c r="I57" s="59">
        <v>153</v>
      </c>
      <c r="J57" s="59">
        <v>207</v>
      </c>
      <c r="K57" s="59">
        <v>942</v>
      </c>
    </row>
    <row r="58" spans="2:11" x14ac:dyDescent="0.25">
      <c r="B58" s="59" t="s">
        <v>122</v>
      </c>
      <c r="C58" s="23">
        <v>2015</v>
      </c>
      <c r="D58" s="23" t="s">
        <v>53</v>
      </c>
      <c r="E58" s="59" t="s">
        <v>281</v>
      </c>
      <c r="F58" s="59" t="s">
        <v>18</v>
      </c>
      <c r="G58" s="59" t="s">
        <v>358</v>
      </c>
      <c r="H58" s="59">
        <v>0</v>
      </c>
      <c r="I58" s="59">
        <v>18</v>
      </c>
      <c r="J58" s="59">
        <v>3</v>
      </c>
      <c r="K58" s="59">
        <v>176</v>
      </c>
    </row>
    <row r="59" spans="2:11" x14ac:dyDescent="0.25">
      <c r="B59" s="59" t="s">
        <v>121</v>
      </c>
      <c r="C59" s="23">
        <v>2017</v>
      </c>
      <c r="D59" s="23" t="s">
        <v>53</v>
      </c>
      <c r="E59" s="59" t="s">
        <v>151</v>
      </c>
      <c r="F59" s="59" t="s">
        <v>35</v>
      </c>
      <c r="G59" s="59" t="s">
        <v>94</v>
      </c>
      <c r="H59" s="59">
        <v>3</v>
      </c>
      <c r="I59" s="59">
        <v>42</v>
      </c>
      <c r="J59" s="59">
        <v>42</v>
      </c>
      <c r="K59" s="59">
        <v>343</v>
      </c>
    </row>
    <row r="60" spans="2:11" x14ac:dyDescent="0.25">
      <c r="B60" s="59" t="s">
        <v>428</v>
      </c>
      <c r="C60" s="23">
        <v>2013</v>
      </c>
      <c r="D60" s="23" t="s">
        <v>53</v>
      </c>
      <c r="E60" s="59" t="s">
        <v>281</v>
      </c>
      <c r="F60" s="59" t="s">
        <v>18</v>
      </c>
      <c r="G60" s="59">
        <v>0.06</v>
      </c>
      <c r="H60" s="59">
        <v>0</v>
      </c>
      <c r="I60" s="59">
        <v>23</v>
      </c>
      <c r="J60" s="59">
        <v>5</v>
      </c>
      <c r="K60" s="59">
        <v>151</v>
      </c>
    </row>
    <row r="61" spans="2:11" x14ac:dyDescent="0.25">
      <c r="B61" s="59" t="s">
        <v>99</v>
      </c>
      <c r="C61" s="23">
        <v>1995</v>
      </c>
      <c r="D61" s="23" t="s">
        <v>53</v>
      </c>
      <c r="E61" s="59" t="s">
        <v>281</v>
      </c>
      <c r="F61" s="59" t="s">
        <v>262</v>
      </c>
      <c r="G61" s="59" t="s">
        <v>356</v>
      </c>
      <c r="H61" s="59">
        <v>4</v>
      </c>
      <c r="I61" s="59">
        <v>59</v>
      </c>
      <c r="J61" s="59">
        <v>29</v>
      </c>
      <c r="K61" s="59">
        <f>635-92</f>
        <v>543</v>
      </c>
    </row>
    <row r="62" spans="2:11" x14ac:dyDescent="0.25">
      <c r="B62" s="59" t="s">
        <v>124</v>
      </c>
      <c r="C62" s="23">
        <v>1994</v>
      </c>
      <c r="D62" s="23" t="s">
        <v>53</v>
      </c>
      <c r="E62" s="59" t="s">
        <v>281</v>
      </c>
      <c r="F62" s="59" t="s">
        <v>18</v>
      </c>
      <c r="G62" s="59" t="s">
        <v>185</v>
      </c>
      <c r="H62" s="59">
        <v>1</v>
      </c>
      <c r="I62" s="59">
        <v>9</v>
      </c>
      <c r="J62" s="59">
        <v>2</v>
      </c>
      <c r="K62" s="59">
        <v>88</v>
      </c>
    </row>
    <row r="63" spans="2:11" x14ac:dyDescent="0.25">
      <c r="B63" s="59" t="s">
        <v>260</v>
      </c>
      <c r="C63" s="23">
        <v>2007</v>
      </c>
      <c r="D63" s="23" t="s">
        <v>53</v>
      </c>
      <c r="E63" s="59" t="s">
        <v>281</v>
      </c>
      <c r="F63" s="59" t="s">
        <v>16</v>
      </c>
      <c r="G63" s="59">
        <v>7.0000000000000007E-2</v>
      </c>
      <c r="H63" s="59">
        <v>23</v>
      </c>
      <c r="I63" s="59">
        <v>78</v>
      </c>
      <c r="J63" s="59">
        <v>43</v>
      </c>
      <c r="K63" s="59">
        <v>421</v>
      </c>
    </row>
    <row r="64" spans="2:11" x14ac:dyDescent="0.25">
      <c r="B64" s="59" t="s">
        <v>260</v>
      </c>
      <c r="C64" s="23">
        <v>2006</v>
      </c>
      <c r="D64" s="23" t="s">
        <v>53</v>
      </c>
      <c r="E64" s="59" t="s">
        <v>281</v>
      </c>
      <c r="F64" s="59" t="s">
        <v>16</v>
      </c>
      <c r="G64" s="59">
        <v>7.0000000000000007E-2</v>
      </c>
      <c r="H64" s="59">
        <v>10</v>
      </c>
      <c r="I64" s="59">
        <v>132</v>
      </c>
      <c r="J64" s="59">
        <v>18</v>
      </c>
      <c r="K64" s="59">
        <f>885-SUM(H64:J64)</f>
        <v>725</v>
      </c>
    </row>
    <row r="65" spans="2:18" x14ac:dyDescent="0.25">
      <c r="B65" s="59" t="s">
        <v>214</v>
      </c>
      <c r="C65" s="23">
        <v>2000</v>
      </c>
      <c r="D65" s="23" t="s">
        <v>53</v>
      </c>
      <c r="E65" s="59" t="s">
        <v>281</v>
      </c>
      <c r="F65" s="59" t="s">
        <v>16</v>
      </c>
      <c r="G65" s="59">
        <v>0.1</v>
      </c>
      <c r="H65" s="59">
        <v>63</v>
      </c>
      <c r="I65" s="59">
        <v>117</v>
      </c>
      <c r="J65" s="59">
        <v>171</v>
      </c>
      <c r="K65" s="59">
        <v>978</v>
      </c>
    </row>
    <row r="66" spans="2:18" x14ac:dyDescent="0.25">
      <c r="B66" s="59" t="s">
        <v>54</v>
      </c>
      <c r="C66" s="23">
        <v>2012</v>
      </c>
      <c r="D66" s="23" t="s">
        <v>53</v>
      </c>
      <c r="E66" s="59" t="s">
        <v>281</v>
      </c>
      <c r="F66" s="59" t="s">
        <v>267</v>
      </c>
      <c r="H66" s="59">
        <v>1</v>
      </c>
      <c r="I66" s="59">
        <v>11</v>
      </c>
      <c r="J66" s="59">
        <v>2</v>
      </c>
      <c r="K66" s="59">
        <v>86</v>
      </c>
    </row>
    <row r="67" spans="2:18" x14ac:dyDescent="0.25">
      <c r="C67" s="23"/>
      <c r="D67" s="23"/>
    </row>
    <row r="68" spans="2:18" ht="18.75" x14ac:dyDescent="0.3">
      <c r="B68" s="63" t="s">
        <v>179</v>
      </c>
    </row>
    <row r="69" spans="2:18" x14ac:dyDescent="0.25">
      <c r="B69" s="59" t="s">
        <v>10</v>
      </c>
      <c r="C69" s="59" t="s">
        <v>0</v>
      </c>
      <c r="E69" s="59" t="s">
        <v>194</v>
      </c>
      <c r="F69" s="59" t="s">
        <v>174</v>
      </c>
      <c r="G69" s="59" t="s">
        <v>373</v>
      </c>
      <c r="H69" s="24" t="s">
        <v>170</v>
      </c>
      <c r="I69" s="24" t="s">
        <v>171</v>
      </c>
      <c r="J69" s="24" t="s">
        <v>172</v>
      </c>
      <c r="K69" s="24" t="s">
        <v>173</v>
      </c>
      <c r="L69" s="24"/>
      <c r="M69" s="24"/>
    </row>
    <row r="70" spans="2:18" x14ac:dyDescent="0.25">
      <c r="B70" s="59" t="s">
        <v>36</v>
      </c>
      <c r="C70" s="59">
        <v>2018</v>
      </c>
      <c r="D70" s="59" t="s">
        <v>55</v>
      </c>
      <c r="E70" s="59" t="s">
        <v>281</v>
      </c>
      <c r="F70" s="59" t="s">
        <v>273</v>
      </c>
      <c r="G70" s="59">
        <v>0.3</v>
      </c>
      <c r="H70" s="59">
        <v>7</v>
      </c>
      <c r="I70" s="59">
        <v>29</v>
      </c>
      <c r="J70" s="59">
        <v>40</v>
      </c>
      <c r="K70" s="59">
        <v>316</v>
      </c>
      <c r="M70" s="24"/>
      <c r="Q70" s="42"/>
      <c r="R70" s="42"/>
    </row>
    <row r="71" spans="2:18" x14ac:dyDescent="0.25">
      <c r="B71" s="59" t="s">
        <v>123</v>
      </c>
      <c r="C71" s="59">
        <v>2012</v>
      </c>
      <c r="D71" s="59" t="s">
        <v>55</v>
      </c>
      <c r="E71" s="59" t="s">
        <v>151</v>
      </c>
      <c r="F71" s="59" t="s">
        <v>77</v>
      </c>
      <c r="G71" s="24" t="s">
        <v>381</v>
      </c>
      <c r="H71" s="24">
        <v>33</v>
      </c>
      <c r="I71" s="24">
        <v>19</v>
      </c>
      <c r="J71" s="24">
        <v>50</v>
      </c>
      <c r="K71" s="24">
        <v>498</v>
      </c>
      <c r="L71" s="24"/>
      <c r="M71" s="24"/>
      <c r="Q71" s="42"/>
      <c r="R71" s="42"/>
    </row>
    <row r="72" spans="2:18" x14ac:dyDescent="0.25">
      <c r="B72" s="59" t="s">
        <v>431</v>
      </c>
      <c r="C72" s="59">
        <v>2017</v>
      </c>
      <c r="D72" s="59" t="s">
        <v>55</v>
      </c>
      <c r="E72" s="59" t="s">
        <v>281</v>
      </c>
      <c r="F72" s="59" t="s">
        <v>273</v>
      </c>
      <c r="G72" s="24" t="s">
        <v>381</v>
      </c>
      <c r="H72" s="59">
        <v>12</v>
      </c>
      <c r="I72" s="59">
        <v>39</v>
      </c>
      <c r="J72" s="59">
        <v>107</v>
      </c>
      <c r="K72" s="59">
        <v>288</v>
      </c>
      <c r="M72" s="24"/>
    </row>
    <row r="73" spans="2:18" x14ac:dyDescent="0.25">
      <c r="B73" s="59" t="s">
        <v>40</v>
      </c>
      <c r="C73" s="59">
        <v>2012</v>
      </c>
      <c r="D73" s="59" t="s">
        <v>55</v>
      </c>
      <c r="E73" s="59" t="s">
        <v>281</v>
      </c>
      <c r="F73" s="59" t="s">
        <v>344</v>
      </c>
      <c r="G73" s="24" t="s">
        <v>381</v>
      </c>
      <c r="H73" s="24">
        <v>10</v>
      </c>
      <c r="I73" s="24">
        <v>90</v>
      </c>
      <c r="J73" s="24">
        <v>41</v>
      </c>
      <c r="K73" s="24">
        <v>859</v>
      </c>
      <c r="L73" s="24"/>
      <c r="M73" s="24"/>
    </row>
    <row r="74" spans="2:18" x14ac:dyDescent="0.25">
      <c r="B74" s="59" t="s">
        <v>260</v>
      </c>
      <c r="C74" s="59">
        <v>2006</v>
      </c>
      <c r="D74" s="59" t="s">
        <v>55</v>
      </c>
      <c r="E74" s="59" t="s">
        <v>281</v>
      </c>
      <c r="F74" s="59" t="s">
        <v>273</v>
      </c>
      <c r="G74" s="24">
        <v>0.3</v>
      </c>
      <c r="H74" s="24">
        <v>2</v>
      </c>
      <c r="I74" s="24">
        <v>57</v>
      </c>
      <c r="J74" s="24">
        <v>32</v>
      </c>
      <c r="K74" s="24">
        <f>885-SUM(H74:J74)</f>
        <v>794</v>
      </c>
      <c r="L74" s="24"/>
      <c r="M74" s="24"/>
    </row>
    <row r="75" spans="2:18" x14ac:dyDescent="0.25">
      <c r="B75" s="59" t="s">
        <v>54</v>
      </c>
      <c r="C75" s="59">
        <v>2012</v>
      </c>
      <c r="D75" s="59" t="s">
        <v>55</v>
      </c>
      <c r="E75" s="59" t="s">
        <v>281</v>
      </c>
      <c r="F75" s="59" t="s">
        <v>77</v>
      </c>
      <c r="G75" s="24" t="s">
        <v>381</v>
      </c>
      <c r="H75" s="24">
        <v>8</v>
      </c>
      <c r="I75" s="24">
        <v>7</v>
      </c>
      <c r="J75" s="24">
        <v>65</v>
      </c>
      <c r="K75" s="24">
        <v>20</v>
      </c>
      <c r="L75" s="24"/>
      <c r="M75" s="24"/>
    </row>
    <row r="76" spans="2:18" x14ac:dyDescent="0.25">
      <c r="B76" s="59" t="s">
        <v>207</v>
      </c>
      <c r="C76" s="59">
        <v>1996</v>
      </c>
      <c r="D76" s="59" t="s">
        <v>55</v>
      </c>
      <c r="E76" s="59" t="s">
        <v>281</v>
      </c>
      <c r="F76" s="59" t="s">
        <v>77</v>
      </c>
      <c r="G76" s="24" t="s">
        <v>381</v>
      </c>
      <c r="H76" s="24">
        <v>1</v>
      </c>
      <c r="I76" s="24">
        <v>29</v>
      </c>
      <c r="J76" s="24">
        <v>38</v>
      </c>
      <c r="K76" s="24">
        <v>79</v>
      </c>
      <c r="L76" s="24"/>
      <c r="M76" s="24"/>
    </row>
    <row r="77" spans="2:18" x14ac:dyDescent="0.25">
      <c r="B77" s="59" t="s">
        <v>208</v>
      </c>
      <c r="C77" s="59">
        <v>2000</v>
      </c>
      <c r="D77" s="59" t="s">
        <v>55</v>
      </c>
      <c r="E77" s="59" t="s">
        <v>281</v>
      </c>
      <c r="F77" s="59" t="s">
        <v>77</v>
      </c>
      <c r="G77" s="24">
        <v>0.37</v>
      </c>
      <c r="H77" s="24">
        <v>1</v>
      </c>
      <c r="I77" s="24">
        <v>67</v>
      </c>
      <c r="J77" s="24">
        <v>7</v>
      </c>
      <c r="K77" s="24">
        <v>582</v>
      </c>
      <c r="L77" s="24"/>
      <c r="M77" s="24"/>
    </row>
    <row r="78" spans="2:18" x14ac:dyDescent="0.25">
      <c r="B78" s="59" t="s">
        <v>182</v>
      </c>
      <c r="C78" s="59">
        <v>2006</v>
      </c>
      <c r="D78" s="59" t="s">
        <v>55</v>
      </c>
      <c r="E78" s="59" t="s">
        <v>281</v>
      </c>
      <c r="F78" s="59" t="s">
        <v>77</v>
      </c>
      <c r="G78" s="24">
        <v>0.37</v>
      </c>
      <c r="H78" s="24">
        <v>20</v>
      </c>
      <c r="I78" s="24">
        <v>67</v>
      </c>
      <c r="J78" s="24">
        <v>23</v>
      </c>
      <c r="K78" s="24">
        <v>589</v>
      </c>
      <c r="L78" s="24"/>
      <c r="M78" s="23"/>
      <c r="Q78" s="42"/>
    </row>
    <row r="79" spans="2:18" x14ac:dyDescent="0.25">
      <c r="B79" s="59" t="s">
        <v>428</v>
      </c>
      <c r="C79" s="59">
        <v>2013</v>
      </c>
      <c r="D79" s="59" t="s">
        <v>55</v>
      </c>
      <c r="E79" s="59" t="s">
        <v>281</v>
      </c>
      <c r="F79" s="59" t="s">
        <v>77</v>
      </c>
      <c r="G79" s="24">
        <v>0.48</v>
      </c>
      <c r="H79" s="24">
        <v>2</v>
      </c>
      <c r="I79" s="24">
        <v>19</v>
      </c>
      <c r="J79" s="24">
        <v>19</v>
      </c>
      <c r="K79" s="24">
        <v>137</v>
      </c>
      <c r="L79" s="24"/>
      <c r="M79" s="23"/>
      <c r="Q79" s="42"/>
    </row>
    <row r="80" spans="2:18" x14ac:dyDescent="0.25">
      <c r="B80" s="59" t="s">
        <v>99</v>
      </c>
      <c r="C80" s="59">
        <v>1995</v>
      </c>
      <c r="D80" s="59" t="s">
        <v>55</v>
      </c>
      <c r="E80" s="59" t="s">
        <v>281</v>
      </c>
      <c r="F80" s="59" t="s">
        <v>77</v>
      </c>
      <c r="G80" s="24">
        <v>0.31900000000000001</v>
      </c>
      <c r="H80" s="24">
        <v>4</v>
      </c>
      <c r="I80" s="24">
        <v>59</v>
      </c>
      <c r="J80" s="24">
        <v>12</v>
      </c>
      <c r="K80" s="24">
        <v>560</v>
      </c>
      <c r="L80" s="24"/>
      <c r="Q80" s="42"/>
    </row>
    <row r="81" spans="2:23" x14ac:dyDescent="0.25">
      <c r="B81" s="59" t="s">
        <v>241</v>
      </c>
      <c r="C81" s="59">
        <v>2014</v>
      </c>
      <c r="D81" s="59" t="s">
        <v>55</v>
      </c>
      <c r="E81" s="59" t="s">
        <v>281</v>
      </c>
      <c r="F81" s="59" t="s">
        <v>77</v>
      </c>
      <c r="G81" s="24" t="s">
        <v>381</v>
      </c>
      <c r="H81" s="24">
        <v>3</v>
      </c>
      <c r="I81" s="24">
        <v>7</v>
      </c>
      <c r="J81" s="24">
        <v>24</v>
      </c>
      <c r="K81" s="24">
        <v>68</v>
      </c>
      <c r="L81" s="24"/>
    </row>
    <row r="82" spans="2:23" x14ac:dyDescent="0.25">
      <c r="L82" s="24"/>
      <c r="M82" s="23"/>
    </row>
    <row r="83" spans="2:23" x14ac:dyDescent="0.25">
      <c r="B83" s="59" t="s">
        <v>431</v>
      </c>
      <c r="C83" s="59">
        <v>2017</v>
      </c>
      <c r="D83" s="59" t="s">
        <v>55</v>
      </c>
      <c r="E83" s="59" t="s">
        <v>281</v>
      </c>
      <c r="F83" s="59" t="s">
        <v>78</v>
      </c>
      <c r="G83" s="24" t="s">
        <v>381</v>
      </c>
      <c r="H83" s="24">
        <v>12</v>
      </c>
      <c r="I83" s="24">
        <v>39</v>
      </c>
      <c r="J83" s="24">
        <v>105</v>
      </c>
      <c r="K83" s="24">
        <v>290</v>
      </c>
    </row>
    <row r="84" spans="2:23" x14ac:dyDescent="0.25">
      <c r="B84" s="59" t="s">
        <v>54</v>
      </c>
      <c r="C84" s="59">
        <v>2012</v>
      </c>
      <c r="D84" s="59" t="s">
        <v>55</v>
      </c>
      <c r="E84" s="59" t="s">
        <v>281</v>
      </c>
      <c r="F84" s="59" t="s">
        <v>354</v>
      </c>
      <c r="G84" s="24" t="s">
        <v>381</v>
      </c>
      <c r="H84" s="24">
        <v>1</v>
      </c>
      <c r="I84" s="24">
        <v>14</v>
      </c>
      <c r="J84" s="24">
        <v>34</v>
      </c>
      <c r="K84" s="24">
        <v>51</v>
      </c>
      <c r="L84" s="24"/>
      <c r="M84" s="23"/>
    </row>
    <row r="85" spans="2:23" x14ac:dyDescent="0.25">
      <c r="B85" s="59" t="s">
        <v>207</v>
      </c>
      <c r="C85" s="59">
        <v>1996</v>
      </c>
      <c r="D85" s="59" t="s">
        <v>55</v>
      </c>
      <c r="E85" s="59" t="s">
        <v>281</v>
      </c>
      <c r="F85" s="59" t="s">
        <v>271</v>
      </c>
      <c r="G85" s="24" t="s">
        <v>381</v>
      </c>
      <c r="H85" s="59">
        <v>1</v>
      </c>
      <c r="I85" s="59">
        <v>29</v>
      </c>
      <c r="J85" s="59">
        <v>17</v>
      </c>
      <c r="K85" s="59">
        <v>100</v>
      </c>
    </row>
    <row r="86" spans="2:23" x14ac:dyDescent="0.25">
      <c r="B86" s="59" t="s">
        <v>46</v>
      </c>
      <c r="C86" s="59">
        <v>2014</v>
      </c>
      <c r="D86" s="59" t="s">
        <v>55</v>
      </c>
      <c r="E86" s="59" t="s">
        <v>281</v>
      </c>
      <c r="F86" s="59" t="s">
        <v>271</v>
      </c>
      <c r="G86" s="24">
        <v>0.32</v>
      </c>
      <c r="H86" s="24">
        <v>17</v>
      </c>
      <c r="I86" s="24">
        <v>91</v>
      </c>
      <c r="J86" s="24">
        <v>235</v>
      </c>
      <c r="K86" s="24">
        <f>1082-(SUM(H86:J86))</f>
        <v>739</v>
      </c>
      <c r="L86" s="24"/>
      <c r="M86" s="23"/>
    </row>
    <row r="87" spans="2:23" x14ac:dyDescent="0.25">
      <c r="B87" s="59" t="s">
        <v>427</v>
      </c>
      <c r="C87" s="59">
        <v>2011</v>
      </c>
      <c r="D87" s="59" t="s">
        <v>55</v>
      </c>
      <c r="E87" s="59" t="s">
        <v>151</v>
      </c>
      <c r="F87" s="59" t="s">
        <v>271</v>
      </c>
      <c r="G87" s="59">
        <v>0.64</v>
      </c>
      <c r="H87" s="24">
        <v>4</v>
      </c>
      <c r="I87" s="24">
        <v>20</v>
      </c>
      <c r="J87" s="24">
        <v>31</v>
      </c>
      <c r="K87" s="24">
        <v>151</v>
      </c>
      <c r="M87" s="23"/>
    </row>
    <row r="88" spans="2:23" x14ac:dyDescent="0.25">
      <c r="B88" s="59" t="s">
        <v>122</v>
      </c>
      <c r="C88" s="59">
        <v>2015</v>
      </c>
      <c r="D88" s="59" t="s">
        <v>55</v>
      </c>
      <c r="E88" s="59" t="s">
        <v>281</v>
      </c>
      <c r="F88" s="59" t="s">
        <v>352</v>
      </c>
      <c r="G88" s="24">
        <v>0.46</v>
      </c>
      <c r="H88" s="24">
        <v>0</v>
      </c>
      <c r="I88" s="24">
        <v>20</v>
      </c>
      <c r="J88" s="24">
        <v>2</v>
      </c>
      <c r="K88" s="24">
        <v>178</v>
      </c>
      <c r="L88" s="24"/>
      <c r="M88" s="23"/>
    </row>
    <row r="89" spans="2:23" x14ac:dyDescent="0.25">
      <c r="B89" s="59" t="s">
        <v>123</v>
      </c>
      <c r="C89" s="59">
        <v>2012</v>
      </c>
      <c r="D89" s="59" t="s">
        <v>55</v>
      </c>
      <c r="E89" s="59" t="s">
        <v>151</v>
      </c>
      <c r="F89" s="59" t="s">
        <v>162</v>
      </c>
      <c r="G89" s="24" t="s">
        <v>381</v>
      </c>
      <c r="H89" s="24">
        <v>2</v>
      </c>
      <c r="I89" s="24">
        <v>50</v>
      </c>
      <c r="J89" s="24">
        <v>55</v>
      </c>
      <c r="K89" s="24">
        <v>493</v>
      </c>
      <c r="L89" s="24"/>
      <c r="M89" s="23"/>
    </row>
    <row r="90" spans="2:23" x14ac:dyDescent="0.25">
      <c r="B90" s="59" t="s">
        <v>40</v>
      </c>
      <c r="C90" s="59">
        <v>2012</v>
      </c>
      <c r="D90" s="59" t="s">
        <v>55</v>
      </c>
      <c r="E90" s="59" t="s">
        <v>281</v>
      </c>
      <c r="F90" s="59" t="s">
        <v>162</v>
      </c>
      <c r="G90" s="24" t="s">
        <v>381</v>
      </c>
      <c r="H90" s="24">
        <v>14</v>
      </c>
      <c r="I90" s="24">
        <v>86</v>
      </c>
      <c r="J90" s="24">
        <v>85</v>
      </c>
      <c r="K90" s="24">
        <v>815</v>
      </c>
      <c r="L90" s="24"/>
      <c r="M90" s="23"/>
    </row>
    <row r="91" spans="2:23" x14ac:dyDescent="0.25">
      <c r="B91" s="59" t="s">
        <v>260</v>
      </c>
      <c r="C91" s="59">
        <v>2007</v>
      </c>
      <c r="D91" s="59" t="s">
        <v>55</v>
      </c>
      <c r="E91" s="59" t="s">
        <v>281</v>
      </c>
      <c r="F91" s="59" t="s">
        <v>162</v>
      </c>
      <c r="G91" s="24">
        <v>0.3</v>
      </c>
      <c r="H91" s="24">
        <v>35</v>
      </c>
      <c r="I91" s="24">
        <v>41</v>
      </c>
      <c r="J91" s="24">
        <v>231</v>
      </c>
      <c r="K91" s="24">
        <v>258</v>
      </c>
      <c r="L91" s="24"/>
      <c r="M91" s="23"/>
      <c r="S91" s="24"/>
      <c r="T91" s="24"/>
      <c r="U91" s="24"/>
      <c r="V91" s="24"/>
      <c r="W91" s="24"/>
    </row>
    <row r="92" spans="2:23" x14ac:dyDescent="0.25">
      <c r="B92" s="59" t="s">
        <v>260</v>
      </c>
      <c r="C92" s="59">
        <v>2006</v>
      </c>
      <c r="D92" s="59" t="s">
        <v>55</v>
      </c>
      <c r="E92" s="59" t="s">
        <v>281</v>
      </c>
      <c r="F92" s="59" t="s">
        <v>162</v>
      </c>
      <c r="G92" s="24">
        <v>0.3</v>
      </c>
      <c r="H92" s="24">
        <v>7</v>
      </c>
      <c r="I92" s="24">
        <v>52</v>
      </c>
      <c r="J92" s="24">
        <v>72</v>
      </c>
      <c r="K92" s="24">
        <f>885-SUM(H92:J92)</f>
        <v>754</v>
      </c>
      <c r="L92" s="24"/>
      <c r="M92" s="23"/>
      <c r="R92" s="75"/>
      <c r="S92" s="24"/>
      <c r="T92" s="24"/>
      <c r="U92" s="24"/>
      <c r="V92" s="24"/>
      <c r="W92" s="24"/>
    </row>
    <row r="93" spans="2:23" x14ac:dyDescent="0.25">
      <c r="B93" s="59" t="s">
        <v>208</v>
      </c>
      <c r="C93" s="59">
        <v>2000</v>
      </c>
      <c r="D93" s="59" t="s">
        <v>55</v>
      </c>
      <c r="E93" s="59" t="s">
        <v>281</v>
      </c>
      <c r="F93" s="59" t="s">
        <v>162</v>
      </c>
      <c r="G93" s="24">
        <v>0.37</v>
      </c>
      <c r="H93" s="24">
        <v>10</v>
      </c>
      <c r="I93" s="24">
        <v>58</v>
      </c>
      <c r="J93" s="24">
        <v>60</v>
      </c>
      <c r="K93" s="24">
        <v>529</v>
      </c>
      <c r="L93" s="24"/>
      <c r="M93" s="23"/>
      <c r="T93" s="24"/>
    </row>
    <row r="94" spans="2:23" x14ac:dyDescent="0.25">
      <c r="B94" s="59" t="s">
        <v>427</v>
      </c>
      <c r="C94" s="59">
        <v>2011</v>
      </c>
      <c r="D94" s="59" t="s">
        <v>55</v>
      </c>
      <c r="E94" s="59" t="s">
        <v>151</v>
      </c>
      <c r="F94" s="59" t="s">
        <v>162</v>
      </c>
      <c r="G94" s="24">
        <v>0.64</v>
      </c>
      <c r="H94" s="24">
        <v>4</v>
      </c>
      <c r="I94" s="24">
        <v>20</v>
      </c>
      <c r="J94" s="24">
        <v>14</v>
      </c>
      <c r="K94" s="24">
        <v>168</v>
      </c>
      <c r="M94" s="23"/>
      <c r="Q94" s="42"/>
      <c r="T94" s="24"/>
    </row>
    <row r="95" spans="2:23" x14ac:dyDescent="0.25">
      <c r="B95" s="59" t="s">
        <v>99</v>
      </c>
      <c r="C95" s="59">
        <v>1995</v>
      </c>
      <c r="D95" s="59" t="s">
        <v>55</v>
      </c>
      <c r="E95" s="59" t="s">
        <v>281</v>
      </c>
      <c r="F95" s="59" t="s">
        <v>162</v>
      </c>
      <c r="G95" s="24">
        <v>0.31900000000000001</v>
      </c>
      <c r="H95" s="24">
        <v>21</v>
      </c>
      <c r="I95" s="24">
        <v>42</v>
      </c>
      <c r="J95" s="24">
        <v>71</v>
      </c>
      <c r="K95" s="24">
        <v>501</v>
      </c>
      <c r="L95" s="24"/>
      <c r="M95" s="23"/>
      <c r="T95" s="24"/>
    </row>
    <row r="96" spans="2:23" x14ac:dyDescent="0.25">
      <c r="B96" s="59" t="s">
        <v>429</v>
      </c>
      <c r="C96" s="59">
        <v>2015</v>
      </c>
      <c r="D96" s="59" t="s">
        <v>55</v>
      </c>
      <c r="E96" s="59" t="s">
        <v>281</v>
      </c>
      <c r="F96" s="59" t="s">
        <v>162</v>
      </c>
      <c r="G96" s="24">
        <v>0.59</v>
      </c>
      <c r="H96" s="24">
        <v>3</v>
      </c>
      <c r="I96" s="24">
        <v>11</v>
      </c>
      <c r="J96" s="24">
        <v>18</v>
      </c>
      <c r="K96" s="24">
        <v>122</v>
      </c>
      <c r="M96" s="23"/>
      <c r="P96" s="76"/>
      <c r="Q96" s="31"/>
    </row>
    <row r="97" spans="2:17" x14ac:dyDescent="0.25">
      <c r="B97" s="59" t="s">
        <v>241</v>
      </c>
      <c r="C97" s="59">
        <v>2014</v>
      </c>
      <c r="D97" s="59" t="s">
        <v>55</v>
      </c>
      <c r="E97" s="59" t="s">
        <v>281</v>
      </c>
      <c r="F97" s="59" t="s">
        <v>162</v>
      </c>
      <c r="G97" s="24" t="s">
        <v>381</v>
      </c>
      <c r="H97" s="24">
        <v>5</v>
      </c>
      <c r="I97" s="24">
        <v>5</v>
      </c>
      <c r="J97" s="24">
        <v>11</v>
      </c>
      <c r="K97" s="24">
        <v>81</v>
      </c>
      <c r="L97" s="24"/>
      <c r="M97" s="23"/>
      <c r="P97" s="77"/>
      <c r="Q97" s="31"/>
    </row>
    <row r="98" spans="2:17" x14ac:dyDescent="0.25">
      <c r="B98" s="59" t="s">
        <v>36</v>
      </c>
      <c r="C98" s="59">
        <v>2018</v>
      </c>
      <c r="D98" s="59" t="s">
        <v>55</v>
      </c>
      <c r="E98" s="59" t="s">
        <v>281</v>
      </c>
      <c r="F98" s="59" t="s">
        <v>23</v>
      </c>
      <c r="G98" s="24">
        <v>0.3</v>
      </c>
      <c r="H98" s="24">
        <v>5</v>
      </c>
      <c r="I98" s="24">
        <v>36</v>
      </c>
      <c r="J98" s="24">
        <v>40</v>
      </c>
      <c r="K98" s="24">
        <v>311</v>
      </c>
      <c r="M98" s="23"/>
      <c r="P98" s="77"/>
      <c r="Q98" s="31"/>
    </row>
    <row r="99" spans="2:17" x14ac:dyDescent="0.25">
      <c r="B99" s="59" t="s">
        <v>54</v>
      </c>
      <c r="C99" s="59">
        <v>2012</v>
      </c>
      <c r="D99" s="59" t="s">
        <v>55</v>
      </c>
      <c r="E99" s="59" t="s">
        <v>281</v>
      </c>
      <c r="F99" s="42" t="s">
        <v>23</v>
      </c>
      <c r="G99" s="24" t="s">
        <v>381</v>
      </c>
      <c r="H99" s="24">
        <v>3</v>
      </c>
      <c r="I99" s="24">
        <v>12</v>
      </c>
      <c r="J99" s="24">
        <v>15</v>
      </c>
      <c r="K99" s="24">
        <v>70</v>
      </c>
      <c r="L99" s="24"/>
      <c r="M99" s="23"/>
    </row>
    <row r="100" spans="2:17" x14ac:dyDescent="0.25">
      <c r="B100" s="59" t="s">
        <v>430</v>
      </c>
      <c r="C100" s="59">
        <v>2016</v>
      </c>
      <c r="D100" s="59" t="s">
        <v>55</v>
      </c>
      <c r="E100" s="59" t="s">
        <v>281</v>
      </c>
      <c r="F100" s="59" t="s">
        <v>23</v>
      </c>
      <c r="G100" s="59">
        <v>0.26</v>
      </c>
      <c r="H100" s="59">
        <v>5</v>
      </c>
      <c r="I100" s="59">
        <v>11</v>
      </c>
      <c r="J100" s="59">
        <v>15</v>
      </c>
      <c r="K100" s="59">
        <v>136</v>
      </c>
    </row>
    <row r="101" spans="2:17" ht="15" customHeight="1" x14ac:dyDescent="0.25">
      <c r="B101" s="59" t="s">
        <v>46</v>
      </c>
      <c r="C101" s="59">
        <v>2014</v>
      </c>
      <c r="D101" s="59" t="s">
        <v>55</v>
      </c>
      <c r="E101" s="59" t="s">
        <v>281</v>
      </c>
      <c r="F101" s="42" t="s">
        <v>23</v>
      </c>
      <c r="G101" s="24">
        <v>0.32</v>
      </c>
      <c r="H101" s="24">
        <v>5</v>
      </c>
      <c r="I101" s="24">
        <v>103</v>
      </c>
      <c r="J101" s="24">
        <v>61</v>
      </c>
      <c r="K101" s="24">
        <v>913</v>
      </c>
      <c r="L101" s="24"/>
    </row>
    <row r="102" spans="2:17" x14ac:dyDescent="0.25">
      <c r="B102" s="59" t="s">
        <v>427</v>
      </c>
      <c r="C102" s="59">
        <v>2011</v>
      </c>
      <c r="D102" s="59" t="s">
        <v>55</v>
      </c>
      <c r="E102" s="59" t="s">
        <v>151</v>
      </c>
      <c r="F102" s="59" t="s">
        <v>23</v>
      </c>
      <c r="G102" s="59">
        <v>0.64</v>
      </c>
      <c r="H102" s="59">
        <v>0</v>
      </c>
      <c r="I102" s="59">
        <v>24</v>
      </c>
      <c r="J102" s="59">
        <v>12</v>
      </c>
      <c r="K102" s="59">
        <v>170</v>
      </c>
    </row>
    <row r="103" spans="2:17" x14ac:dyDescent="0.25">
      <c r="B103" s="59" t="s">
        <v>122</v>
      </c>
      <c r="C103" s="59">
        <v>2015</v>
      </c>
      <c r="D103" s="59" t="s">
        <v>55</v>
      </c>
      <c r="E103" s="59" t="s">
        <v>281</v>
      </c>
      <c r="F103" s="42" t="s">
        <v>23</v>
      </c>
      <c r="G103" s="24">
        <v>0.46</v>
      </c>
      <c r="H103" s="24">
        <v>0</v>
      </c>
      <c r="I103" s="24">
        <v>20</v>
      </c>
      <c r="J103" s="24">
        <v>3</v>
      </c>
      <c r="K103" s="24">
        <v>177</v>
      </c>
      <c r="L103" s="24"/>
    </row>
    <row r="104" spans="2:17" x14ac:dyDescent="0.25">
      <c r="B104" s="59" t="s">
        <v>428</v>
      </c>
      <c r="C104" s="59">
        <v>2013</v>
      </c>
      <c r="D104" s="59" t="s">
        <v>55</v>
      </c>
      <c r="E104" s="59" t="s">
        <v>281</v>
      </c>
      <c r="F104" s="42" t="s">
        <v>23</v>
      </c>
      <c r="G104" s="59">
        <v>0.48</v>
      </c>
      <c r="H104" s="24">
        <v>6</v>
      </c>
      <c r="I104" s="24">
        <v>15</v>
      </c>
      <c r="J104" s="24">
        <v>19</v>
      </c>
      <c r="K104" s="24">
        <v>137</v>
      </c>
    </row>
    <row r="105" spans="2:17" x14ac:dyDescent="0.25">
      <c r="B105" s="59" t="s">
        <v>123</v>
      </c>
      <c r="C105" s="59">
        <v>2012</v>
      </c>
      <c r="D105" s="59" t="s">
        <v>55</v>
      </c>
      <c r="E105" s="59" t="s">
        <v>151</v>
      </c>
      <c r="F105" s="59" t="s">
        <v>163</v>
      </c>
      <c r="G105" s="24" t="s">
        <v>381</v>
      </c>
      <c r="H105" s="24">
        <v>9</v>
      </c>
      <c r="I105" s="24">
        <v>43</v>
      </c>
      <c r="J105" s="24">
        <v>126</v>
      </c>
      <c r="K105" s="24">
        <v>422</v>
      </c>
      <c r="L105" s="24"/>
    </row>
    <row r="106" spans="2:17" x14ac:dyDescent="0.25">
      <c r="B106" s="59" t="s">
        <v>431</v>
      </c>
      <c r="C106" s="59">
        <v>2017</v>
      </c>
      <c r="D106" s="59" t="s">
        <v>55</v>
      </c>
      <c r="E106" s="59" t="s">
        <v>281</v>
      </c>
      <c r="F106" s="42" t="s">
        <v>163</v>
      </c>
      <c r="G106" s="24" t="s">
        <v>381</v>
      </c>
      <c r="H106" s="24">
        <v>22</v>
      </c>
      <c r="I106" s="24">
        <v>29</v>
      </c>
      <c r="J106" s="24">
        <v>107</v>
      </c>
      <c r="K106" s="24">
        <v>288</v>
      </c>
    </row>
    <row r="107" spans="2:17" x14ac:dyDescent="0.25">
      <c r="B107" s="59" t="s">
        <v>40</v>
      </c>
      <c r="C107" s="59">
        <v>2012</v>
      </c>
      <c r="D107" s="59" t="s">
        <v>55</v>
      </c>
      <c r="E107" s="59" t="s">
        <v>281</v>
      </c>
      <c r="F107" s="59" t="s">
        <v>163</v>
      </c>
      <c r="G107" s="24" t="s">
        <v>381</v>
      </c>
      <c r="H107" s="24">
        <v>36</v>
      </c>
      <c r="I107" s="24">
        <v>60</v>
      </c>
      <c r="J107" s="24">
        <v>202</v>
      </c>
      <c r="K107" s="24">
        <v>663</v>
      </c>
      <c r="L107" s="24"/>
    </row>
    <row r="108" spans="2:17" x14ac:dyDescent="0.25">
      <c r="B108" s="59" t="s">
        <v>430</v>
      </c>
      <c r="C108" s="59">
        <v>2016</v>
      </c>
      <c r="D108" s="59" t="s">
        <v>55</v>
      </c>
      <c r="E108" s="59" t="s">
        <v>281</v>
      </c>
      <c r="F108" s="59" t="s">
        <v>163</v>
      </c>
      <c r="G108" s="59">
        <v>0.26</v>
      </c>
      <c r="H108" s="59">
        <v>4</v>
      </c>
      <c r="I108" s="59">
        <v>12</v>
      </c>
      <c r="J108" s="59">
        <v>19</v>
      </c>
      <c r="K108" s="59">
        <v>132</v>
      </c>
    </row>
    <row r="109" spans="2:17" x14ac:dyDescent="0.25">
      <c r="B109" s="59" t="s">
        <v>427</v>
      </c>
      <c r="C109" s="59">
        <v>2011</v>
      </c>
      <c r="D109" s="59" t="s">
        <v>55</v>
      </c>
      <c r="E109" s="59" t="s">
        <v>281</v>
      </c>
      <c r="F109" s="42" t="s">
        <v>163</v>
      </c>
      <c r="G109" s="59">
        <v>0.64</v>
      </c>
      <c r="H109" s="59">
        <v>4</v>
      </c>
      <c r="I109" s="59">
        <v>20</v>
      </c>
      <c r="J109" s="59">
        <v>18</v>
      </c>
      <c r="K109" s="59">
        <v>164</v>
      </c>
    </row>
    <row r="110" spans="2:17" x14ac:dyDescent="0.25">
      <c r="B110" s="59" t="s">
        <v>182</v>
      </c>
      <c r="C110" s="59">
        <v>2006</v>
      </c>
      <c r="D110" s="59" t="s">
        <v>55</v>
      </c>
      <c r="E110" s="59" t="s">
        <v>281</v>
      </c>
      <c r="F110" s="59" t="s">
        <v>163</v>
      </c>
      <c r="G110" s="24">
        <v>0.37</v>
      </c>
      <c r="H110" s="24">
        <v>23</v>
      </c>
      <c r="I110" s="24">
        <v>64</v>
      </c>
      <c r="J110" s="24">
        <v>17</v>
      </c>
      <c r="K110" s="24">
        <v>595</v>
      </c>
      <c r="L110" s="24"/>
    </row>
    <row r="111" spans="2:17" x14ac:dyDescent="0.25">
      <c r="B111" s="59" t="s">
        <v>122</v>
      </c>
      <c r="C111" s="59">
        <v>2015</v>
      </c>
      <c r="D111" s="59" t="s">
        <v>55</v>
      </c>
      <c r="E111" s="59" t="s">
        <v>281</v>
      </c>
      <c r="F111" s="59" t="s">
        <v>163</v>
      </c>
      <c r="G111" s="24">
        <v>0.46</v>
      </c>
      <c r="H111" s="24">
        <v>4</v>
      </c>
      <c r="I111" s="24">
        <v>16</v>
      </c>
      <c r="J111" s="24">
        <v>8</v>
      </c>
      <c r="K111" s="24">
        <v>172</v>
      </c>
      <c r="L111" s="24"/>
    </row>
    <row r="112" spans="2:17" x14ac:dyDescent="0.25">
      <c r="B112" s="59" t="s">
        <v>241</v>
      </c>
      <c r="C112" s="59">
        <v>2014</v>
      </c>
      <c r="D112" s="59" t="s">
        <v>55</v>
      </c>
      <c r="E112" s="59" t="s">
        <v>281</v>
      </c>
      <c r="F112" s="59" t="s">
        <v>163</v>
      </c>
      <c r="G112" s="24" t="s">
        <v>381</v>
      </c>
      <c r="H112" s="24">
        <v>8</v>
      </c>
      <c r="I112" s="24">
        <v>2</v>
      </c>
      <c r="J112" s="24">
        <v>41</v>
      </c>
      <c r="K112" s="24">
        <v>51</v>
      </c>
      <c r="L112" s="24"/>
    </row>
    <row r="113" spans="1:27" x14ac:dyDescent="0.25">
      <c r="B113" s="59" t="s">
        <v>36</v>
      </c>
      <c r="C113" s="59">
        <v>2018</v>
      </c>
      <c r="D113" s="59" t="s">
        <v>55</v>
      </c>
      <c r="E113" s="59" t="s">
        <v>281</v>
      </c>
      <c r="F113" s="59" t="s">
        <v>35</v>
      </c>
      <c r="G113" s="59">
        <v>0.3</v>
      </c>
      <c r="H113" s="24">
        <v>4</v>
      </c>
      <c r="I113" s="24">
        <v>40</v>
      </c>
      <c r="J113" s="24">
        <v>36</v>
      </c>
      <c r="K113" s="24">
        <v>315</v>
      </c>
    </row>
    <row r="114" spans="1:27" x14ac:dyDescent="0.25">
      <c r="B114" s="59" t="s">
        <v>431</v>
      </c>
      <c r="C114" s="59">
        <v>2017</v>
      </c>
      <c r="D114" s="59" t="s">
        <v>55</v>
      </c>
      <c r="E114" s="59" t="s">
        <v>281</v>
      </c>
      <c r="F114" s="59" t="s">
        <v>18</v>
      </c>
      <c r="G114" s="24" t="s">
        <v>381</v>
      </c>
      <c r="H114" s="59">
        <v>19</v>
      </c>
      <c r="I114" s="59">
        <v>32</v>
      </c>
      <c r="J114" s="59">
        <v>1</v>
      </c>
      <c r="K114" s="59">
        <v>394</v>
      </c>
    </row>
    <row r="115" spans="1:27" x14ac:dyDescent="0.25">
      <c r="B115" s="59" t="s">
        <v>260</v>
      </c>
      <c r="C115" s="59">
        <v>2006</v>
      </c>
      <c r="D115" s="59" t="s">
        <v>55</v>
      </c>
      <c r="E115" s="59" t="s">
        <v>281</v>
      </c>
      <c r="F115" s="59" t="s">
        <v>35</v>
      </c>
      <c r="G115" s="59">
        <v>0.3</v>
      </c>
      <c r="H115" s="24">
        <v>11</v>
      </c>
      <c r="I115" s="24">
        <v>48</v>
      </c>
      <c r="J115" s="24">
        <v>82</v>
      </c>
      <c r="K115" s="24">
        <f>885-SUM(H115:J115)</f>
        <v>744</v>
      </c>
      <c r="Q115" s="23"/>
      <c r="R115" s="23" t="s">
        <v>449</v>
      </c>
      <c r="S115" s="23"/>
      <c r="W115" s="24"/>
      <c r="X115" s="24"/>
      <c r="Y115" s="24"/>
      <c r="Z115" s="24"/>
    </row>
    <row r="116" spans="1:27" x14ac:dyDescent="0.25">
      <c r="B116" s="59" t="s">
        <v>260</v>
      </c>
      <c r="C116" s="59">
        <v>2006</v>
      </c>
      <c r="D116" s="59" t="s">
        <v>55</v>
      </c>
      <c r="E116" s="59" t="s">
        <v>151</v>
      </c>
      <c r="F116" s="59" t="s">
        <v>35</v>
      </c>
      <c r="G116" s="59">
        <v>0.3</v>
      </c>
      <c r="H116" s="24">
        <v>2</v>
      </c>
      <c r="I116" s="24">
        <v>5</v>
      </c>
      <c r="J116" s="24">
        <v>11</v>
      </c>
      <c r="K116" s="24">
        <v>63</v>
      </c>
      <c r="R116" s="23" t="s">
        <v>36</v>
      </c>
      <c r="S116" s="23">
        <v>2018</v>
      </c>
      <c r="T116" s="59" t="s">
        <v>281</v>
      </c>
      <c r="U116" s="59" t="s">
        <v>35</v>
      </c>
      <c r="V116" s="59">
        <v>0.3</v>
      </c>
      <c r="W116" s="24">
        <v>4</v>
      </c>
      <c r="X116" s="24">
        <v>40</v>
      </c>
      <c r="Y116" s="24">
        <v>36</v>
      </c>
      <c r="Z116" s="24">
        <v>315</v>
      </c>
      <c r="AA116" s="59" t="s">
        <v>94</v>
      </c>
    </row>
    <row r="117" spans="1:27" x14ac:dyDescent="0.25">
      <c r="B117" s="59" t="s">
        <v>260</v>
      </c>
      <c r="C117" s="59">
        <v>2007</v>
      </c>
      <c r="D117" s="59" t="s">
        <v>55</v>
      </c>
      <c r="E117" s="59" t="s">
        <v>281</v>
      </c>
      <c r="F117" s="59" t="s">
        <v>35</v>
      </c>
      <c r="G117" s="59">
        <v>0.3</v>
      </c>
      <c r="H117" s="24">
        <v>18</v>
      </c>
      <c r="I117" s="24">
        <v>58</v>
      </c>
      <c r="J117" s="24">
        <v>87</v>
      </c>
      <c r="K117" s="24">
        <v>402</v>
      </c>
      <c r="R117" s="23" t="s">
        <v>431</v>
      </c>
      <c r="S117" s="23">
        <v>2017</v>
      </c>
      <c r="T117" s="59" t="s">
        <v>281</v>
      </c>
      <c r="U117" s="59" t="s">
        <v>18</v>
      </c>
      <c r="V117" s="24" t="s">
        <v>381</v>
      </c>
      <c r="W117" s="59">
        <v>19</v>
      </c>
      <c r="X117" s="59">
        <v>32</v>
      </c>
      <c r="Y117" s="59">
        <v>1</v>
      </c>
      <c r="Z117" s="59">
        <v>394</v>
      </c>
      <c r="AA117" s="59" t="s">
        <v>185</v>
      </c>
    </row>
    <row r="118" spans="1:27" x14ac:dyDescent="0.25">
      <c r="B118" s="59" t="s">
        <v>54</v>
      </c>
      <c r="C118" s="59">
        <v>2012</v>
      </c>
      <c r="D118" s="59" t="s">
        <v>55</v>
      </c>
      <c r="E118" s="59" t="s">
        <v>281</v>
      </c>
      <c r="F118" s="59" t="s">
        <v>18</v>
      </c>
      <c r="G118" s="24" t="s">
        <v>381</v>
      </c>
      <c r="H118" s="24">
        <v>11</v>
      </c>
      <c r="I118" s="24">
        <v>4</v>
      </c>
      <c r="J118" s="24">
        <v>48</v>
      </c>
      <c r="K118" s="24">
        <v>37</v>
      </c>
      <c r="R118" s="23" t="s">
        <v>54</v>
      </c>
      <c r="S118" s="23">
        <v>2012</v>
      </c>
      <c r="T118" s="59" t="s">
        <v>281</v>
      </c>
      <c r="U118" s="59" t="s">
        <v>18</v>
      </c>
      <c r="V118" s="24" t="s">
        <v>381</v>
      </c>
      <c r="W118" s="24">
        <v>11</v>
      </c>
      <c r="X118" s="24">
        <v>4</v>
      </c>
      <c r="Y118" s="24">
        <v>36</v>
      </c>
      <c r="Z118" s="24">
        <v>37</v>
      </c>
      <c r="AA118" s="59" t="s">
        <v>355</v>
      </c>
    </row>
    <row r="119" spans="1:27" x14ac:dyDescent="0.25">
      <c r="B119" s="59" t="s">
        <v>207</v>
      </c>
      <c r="C119" s="59">
        <v>1996</v>
      </c>
      <c r="D119" s="59" t="s">
        <v>55</v>
      </c>
      <c r="E119" s="59" t="s">
        <v>281</v>
      </c>
      <c r="F119" s="59" t="s">
        <v>329</v>
      </c>
      <c r="G119" s="24" t="s">
        <v>381</v>
      </c>
      <c r="H119" s="24">
        <v>2</v>
      </c>
      <c r="I119" s="24">
        <v>28</v>
      </c>
      <c r="J119" s="24">
        <v>5</v>
      </c>
      <c r="K119" s="24">
        <v>112</v>
      </c>
      <c r="R119" s="23" t="s">
        <v>207</v>
      </c>
      <c r="S119" s="23">
        <v>1996</v>
      </c>
      <c r="T119" s="59" t="s">
        <v>281</v>
      </c>
      <c r="U119" s="59" t="s">
        <v>329</v>
      </c>
      <c r="V119" s="24" t="s">
        <v>381</v>
      </c>
      <c r="W119" s="24">
        <v>2</v>
      </c>
      <c r="X119" s="24">
        <v>28</v>
      </c>
      <c r="Y119" s="24">
        <v>5</v>
      </c>
      <c r="Z119" s="24">
        <v>112</v>
      </c>
      <c r="AA119" s="59" t="s">
        <v>356</v>
      </c>
    </row>
    <row r="120" spans="1:27" x14ac:dyDescent="0.25">
      <c r="A120" s="59" t="s">
        <v>432</v>
      </c>
      <c r="B120" s="59" t="s">
        <v>208</v>
      </c>
      <c r="C120" s="59">
        <v>2000</v>
      </c>
      <c r="D120" s="59" t="s">
        <v>55</v>
      </c>
      <c r="E120" s="59" t="s">
        <v>281</v>
      </c>
      <c r="F120" s="59" t="s">
        <v>262</v>
      </c>
      <c r="G120" s="59">
        <v>0.37</v>
      </c>
      <c r="H120" s="24">
        <v>3</v>
      </c>
      <c r="I120" s="24">
        <v>65</v>
      </c>
      <c r="J120" s="24">
        <v>5</v>
      </c>
      <c r="K120" s="24">
        <v>584</v>
      </c>
      <c r="R120" s="23" t="s">
        <v>208</v>
      </c>
      <c r="S120" s="23">
        <v>2000</v>
      </c>
      <c r="T120" s="59" t="s">
        <v>281</v>
      </c>
      <c r="U120" s="59" t="s">
        <v>262</v>
      </c>
      <c r="V120" s="59">
        <v>0.37</v>
      </c>
      <c r="W120" s="24">
        <v>3</v>
      </c>
      <c r="X120" s="24">
        <v>65</v>
      </c>
      <c r="Y120" s="24">
        <v>4</v>
      </c>
      <c r="Z120" s="24">
        <v>503</v>
      </c>
      <c r="AA120" s="59" t="s">
        <v>94</v>
      </c>
    </row>
    <row r="121" spans="1:27" x14ac:dyDescent="0.25">
      <c r="B121" s="59" t="s">
        <v>430</v>
      </c>
      <c r="C121" s="59">
        <v>2016</v>
      </c>
      <c r="D121" s="59" t="s">
        <v>55</v>
      </c>
      <c r="E121" s="59" t="s">
        <v>281</v>
      </c>
      <c r="F121" s="59" t="s">
        <v>18</v>
      </c>
      <c r="G121" s="59">
        <v>0.26</v>
      </c>
      <c r="H121" s="24">
        <v>4</v>
      </c>
      <c r="I121" s="24">
        <v>12</v>
      </c>
      <c r="J121" s="24">
        <v>12</v>
      </c>
      <c r="K121" s="24">
        <v>139</v>
      </c>
      <c r="R121" s="23" t="s">
        <v>430</v>
      </c>
      <c r="S121" s="23">
        <v>2016</v>
      </c>
      <c r="T121" s="59" t="s">
        <v>281</v>
      </c>
      <c r="U121" s="59" t="s">
        <v>18</v>
      </c>
      <c r="V121" s="59">
        <v>0.26</v>
      </c>
      <c r="W121" s="24">
        <v>4</v>
      </c>
      <c r="X121" s="24">
        <v>12</v>
      </c>
      <c r="Y121" s="24">
        <v>12</v>
      </c>
      <c r="Z121" s="24">
        <v>139</v>
      </c>
      <c r="AA121" s="59" t="s">
        <v>185</v>
      </c>
    </row>
    <row r="122" spans="1:27" x14ac:dyDescent="0.25">
      <c r="B122" s="59" t="s">
        <v>46</v>
      </c>
      <c r="C122" s="59">
        <v>2014</v>
      </c>
      <c r="D122" s="59" t="s">
        <v>55</v>
      </c>
      <c r="E122" s="59" t="s">
        <v>281</v>
      </c>
      <c r="F122" s="59" t="s">
        <v>35</v>
      </c>
      <c r="G122" s="59">
        <v>0.32</v>
      </c>
      <c r="H122" s="24">
        <v>15</v>
      </c>
      <c r="I122" s="24">
        <v>85</v>
      </c>
      <c r="J122" s="24">
        <v>93</v>
      </c>
      <c r="K122" s="24">
        <v>889</v>
      </c>
      <c r="R122" s="23" t="s">
        <v>46</v>
      </c>
      <c r="S122" s="23">
        <v>2014</v>
      </c>
      <c r="T122" s="59" t="s">
        <v>281</v>
      </c>
      <c r="U122" s="59" t="s">
        <v>35</v>
      </c>
      <c r="V122" s="59">
        <v>0.38</v>
      </c>
      <c r="W122" s="24">
        <v>15</v>
      </c>
      <c r="X122" s="24">
        <v>85</v>
      </c>
      <c r="Y122" s="24">
        <v>93</v>
      </c>
      <c r="Z122" s="24">
        <v>889</v>
      </c>
      <c r="AA122" s="59" t="s">
        <v>94</v>
      </c>
    </row>
    <row r="123" spans="1:27" x14ac:dyDescent="0.25">
      <c r="B123" s="59" t="s">
        <v>427</v>
      </c>
      <c r="C123" s="59">
        <v>2011</v>
      </c>
      <c r="D123" s="59" t="s">
        <v>55</v>
      </c>
      <c r="E123" s="59" t="s">
        <v>151</v>
      </c>
      <c r="F123" s="59" t="s">
        <v>18</v>
      </c>
      <c r="G123" s="59">
        <v>0.64</v>
      </c>
      <c r="H123" s="24">
        <v>6</v>
      </c>
      <c r="I123" s="24">
        <v>18</v>
      </c>
      <c r="J123" s="24">
        <v>17</v>
      </c>
      <c r="K123" s="24">
        <v>165</v>
      </c>
      <c r="R123" s="23" t="s">
        <v>427</v>
      </c>
      <c r="S123" s="23">
        <v>2011</v>
      </c>
      <c r="T123" s="59" t="s">
        <v>151</v>
      </c>
      <c r="U123" s="59" t="s">
        <v>18</v>
      </c>
      <c r="V123" s="59">
        <v>0.64</v>
      </c>
      <c r="W123" s="24">
        <v>6</v>
      </c>
      <c r="X123" s="24">
        <v>18</v>
      </c>
      <c r="Y123" s="24">
        <v>17</v>
      </c>
      <c r="Z123" s="24">
        <v>165</v>
      </c>
      <c r="AA123" s="59" t="s">
        <v>185</v>
      </c>
    </row>
    <row r="124" spans="1:27" x14ac:dyDescent="0.25">
      <c r="B124" s="59" t="s">
        <v>214</v>
      </c>
      <c r="C124" s="59">
        <v>2000</v>
      </c>
      <c r="D124" s="59" t="s">
        <v>55</v>
      </c>
      <c r="E124" s="59" t="s">
        <v>281</v>
      </c>
      <c r="F124" s="59" t="s">
        <v>18</v>
      </c>
      <c r="G124" s="59">
        <v>0.3</v>
      </c>
      <c r="H124" s="24">
        <v>37</v>
      </c>
      <c r="I124" s="24">
        <v>218</v>
      </c>
      <c r="J124" s="24">
        <v>106</v>
      </c>
      <c r="K124" s="24">
        <v>868</v>
      </c>
      <c r="R124" s="23" t="s">
        <v>214</v>
      </c>
      <c r="S124" s="23">
        <v>2000</v>
      </c>
      <c r="T124" s="59" t="s">
        <v>281</v>
      </c>
      <c r="U124" s="59" t="s">
        <v>18</v>
      </c>
      <c r="V124" s="59">
        <v>0.3</v>
      </c>
      <c r="W124" s="24">
        <v>37</v>
      </c>
      <c r="X124" s="24">
        <v>218</v>
      </c>
      <c r="Y124" s="24">
        <v>79</v>
      </c>
      <c r="Z124" s="24">
        <f>874-79</f>
        <v>795</v>
      </c>
      <c r="AA124" s="59" t="s">
        <v>185</v>
      </c>
    </row>
    <row r="125" spans="1:27" x14ac:dyDescent="0.25">
      <c r="B125" s="59" t="s">
        <v>122</v>
      </c>
      <c r="C125" s="59">
        <v>2015</v>
      </c>
      <c r="D125" s="59" t="s">
        <v>55</v>
      </c>
      <c r="E125" s="59" t="s">
        <v>281</v>
      </c>
      <c r="F125" s="59" t="s">
        <v>18</v>
      </c>
      <c r="G125" s="59">
        <v>0.46</v>
      </c>
      <c r="H125" s="24">
        <v>2</v>
      </c>
      <c r="I125" s="24">
        <v>18</v>
      </c>
      <c r="J125" s="24">
        <v>1</v>
      </c>
      <c r="K125" s="24">
        <v>179</v>
      </c>
      <c r="R125" s="23" t="s">
        <v>122</v>
      </c>
      <c r="S125" s="23">
        <v>2015</v>
      </c>
      <c r="T125" s="59" t="s">
        <v>281</v>
      </c>
      <c r="U125" s="59" t="s">
        <v>18</v>
      </c>
      <c r="V125" s="59">
        <v>0.46</v>
      </c>
      <c r="W125" s="24">
        <v>2</v>
      </c>
      <c r="X125" s="24">
        <v>18</v>
      </c>
      <c r="Y125" s="24">
        <v>1</v>
      </c>
      <c r="Z125" s="24">
        <v>161</v>
      </c>
      <c r="AA125" s="59" t="s">
        <v>358</v>
      </c>
    </row>
    <row r="126" spans="1:27" x14ac:dyDescent="0.25">
      <c r="B126" s="59" t="s">
        <v>121</v>
      </c>
      <c r="C126" s="59">
        <v>2017</v>
      </c>
      <c r="D126" s="59" t="s">
        <v>55</v>
      </c>
      <c r="E126" s="59" t="s">
        <v>151</v>
      </c>
      <c r="F126" s="59" t="s">
        <v>35</v>
      </c>
      <c r="G126" s="59">
        <v>0.6</v>
      </c>
      <c r="H126" s="24">
        <v>6</v>
      </c>
      <c r="I126" s="24">
        <v>55</v>
      </c>
      <c r="J126" s="24">
        <v>39</v>
      </c>
      <c r="K126" s="24">
        <v>330</v>
      </c>
      <c r="R126" s="23" t="s">
        <v>121</v>
      </c>
      <c r="S126" s="23">
        <v>2017</v>
      </c>
      <c r="T126" s="59" t="s">
        <v>151</v>
      </c>
      <c r="U126" s="59" t="s">
        <v>35</v>
      </c>
      <c r="V126" s="59">
        <v>0.6</v>
      </c>
      <c r="W126" s="24">
        <v>6</v>
      </c>
      <c r="X126" s="24">
        <v>55</v>
      </c>
      <c r="Y126" s="24">
        <v>36</v>
      </c>
      <c r="Z126" s="24">
        <v>288</v>
      </c>
      <c r="AA126" s="59" t="s">
        <v>94</v>
      </c>
    </row>
    <row r="127" spans="1:27" x14ac:dyDescent="0.25">
      <c r="B127" s="59" t="s">
        <v>428</v>
      </c>
      <c r="C127" s="59">
        <v>2013</v>
      </c>
      <c r="D127" s="59" t="s">
        <v>55</v>
      </c>
      <c r="E127" s="59" t="s">
        <v>281</v>
      </c>
      <c r="F127" s="59" t="s">
        <v>18</v>
      </c>
      <c r="G127" s="59">
        <v>0.48</v>
      </c>
      <c r="H127" s="24">
        <v>17</v>
      </c>
      <c r="I127" s="24">
        <v>4</v>
      </c>
      <c r="J127" s="24">
        <v>5</v>
      </c>
      <c r="K127" s="24">
        <v>151</v>
      </c>
      <c r="R127" s="23" t="s">
        <v>428</v>
      </c>
      <c r="S127" s="23">
        <v>2013</v>
      </c>
      <c r="T127" s="59" t="s">
        <v>281</v>
      </c>
      <c r="U127" s="59" t="s">
        <v>18</v>
      </c>
      <c r="V127" s="59">
        <v>0.48</v>
      </c>
      <c r="W127" s="24">
        <v>17</v>
      </c>
      <c r="X127" s="24">
        <v>4</v>
      </c>
      <c r="Y127" s="24">
        <v>5</v>
      </c>
      <c r="Z127" s="24">
        <v>151</v>
      </c>
      <c r="AA127" s="59" t="s">
        <v>185</v>
      </c>
    </row>
    <row r="128" spans="1:27" x14ac:dyDescent="0.25">
      <c r="B128" s="59" t="s">
        <v>99</v>
      </c>
      <c r="C128" s="59">
        <v>1995</v>
      </c>
      <c r="D128" s="59" t="s">
        <v>55</v>
      </c>
      <c r="E128" s="59" t="s">
        <v>281</v>
      </c>
      <c r="F128" s="59" t="s">
        <v>262</v>
      </c>
      <c r="G128" s="59">
        <v>0.31900000000000001</v>
      </c>
      <c r="H128" s="24">
        <v>5</v>
      </c>
      <c r="I128" s="24">
        <v>58</v>
      </c>
      <c r="J128" s="24">
        <v>28</v>
      </c>
      <c r="K128" s="24">
        <f>635-91</f>
        <v>544</v>
      </c>
    </row>
    <row r="129" spans="2:27" x14ac:dyDescent="0.25">
      <c r="B129" s="59" t="s">
        <v>260</v>
      </c>
      <c r="C129" s="59">
        <v>2007</v>
      </c>
      <c r="D129" s="59" t="s">
        <v>55</v>
      </c>
      <c r="E129" s="59" t="s">
        <v>281</v>
      </c>
      <c r="F129" s="59" t="s">
        <v>16</v>
      </c>
      <c r="G129" s="59">
        <v>0.3</v>
      </c>
      <c r="H129" s="24">
        <v>16</v>
      </c>
      <c r="I129" s="24">
        <v>60</v>
      </c>
      <c r="J129" s="24">
        <v>50</v>
      </c>
      <c r="K129" s="24">
        <v>439</v>
      </c>
      <c r="L129" s="23"/>
      <c r="Q129" s="23"/>
      <c r="R129" s="23"/>
      <c r="S129" s="23"/>
      <c r="W129" s="24"/>
      <c r="X129" s="24"/>
      <c r="Y129" s="24"/>
      <c r="Z129" s="24"/>
      <c r="AA129" s="23"/>
    </row>
    <row r="130" spans="2:27" x14ac:dyDescent="0.25">
      <c r="B130" s="59" t="s">
        <v>260</v>
      </c>
      <c r="C130" s="59">
        <v>2006</v>
      </c>
      <c r="D130" s="59" t="s">
        <v>55</v>
      </c>
      <c r="E130" s="59" t="s">
        <v>281</v>
      </c>
      <c r="F130" s="59" t="s">
        <v>16</v>
      </c>
      <c r="G130" s="59">
        <v>0.3</v>
      </c>
      <c r="H130" s="24">
        <v>3</v>
      </c>
      <c r="I130" s="24">
        <v>56</v>
      </c>
      <c r="J130" s="24">
        <v>25</v>
      </c>
      <c r="K130" s="24">
        <f>885-SUM(H130:J130)</f>
        <v>801</v>
      </c>
      <c r="L130" s="23"/>
      <c r="Q130" s="23"/>
      <c r="R130" s="23"/>
      <c r="S130" s="23"/>
      <c r="W130" s="24"/>
      <c r="X130" s="24"/>
      <c r="Y130" s="24"/>
      <c r="Z130" s="24"/>
      <c r="AA130" s="23"/>
    </row>
    <row r="131" spans="2:27" x14ac:dyDescent="0.25">
      <c r="B131" s="59" t="s">
        <v>214</v>
      </c>
      <c r="C131" s="59">
        <v>2000</v>
      </c>
      <c r="D131" s="59" t="s">
        <v>55</v>
      </c>
      <c r="E131" s="59" t="s">
        <v>281</v>
      </c>
      <c r="F131" s="59" t="s">
        <v>16</v>
      </c>
      <c r="G131" s="59">
        <v>0.3</v>
      </c>
      <c r="H131" s="59">
        <v>103</v>
      </c>
      <c r="I131" s="59">
        <v>172</v>
      </c>
      <c r="J131" s="59">
        <v>131</v>
      </c>
      <c r="K131" s="59">
        <v>843</v>
      </c>
      <c r="L131" s="23"/>
      <c r="Q131" s="23"/>
      <c r="R131" s="23"/>
      <c r="S131" s="23"/>
      <c r="AA131" s="23"/>
    </row>
    <row r="132" spans="2:27" x14ac:dyDescent="0.25">
      <c r="B132" s="59" t="s">
        <v>54</v>
      </c>
      <c r="C132" s="59">
        <v>2012</v>
      </c>
      <c r="D132" s="59" t="s">
        <v>55</v>
      </c>
      <c r="E132" s="59" t="s">
        <v>281</v>
      </c>
      <c r="F132" s="59" t="s">
        <v>267</v>
      </c>
      <c r="H132" s="59">
        <v>0</v>
      </c>
      <c r="I132" s="59">
        <v>15</v>
      </c>
      <c r="J132" s="59">
        <v>3</v>
      </c>
      <c r="K132" s="59">
        <v>82</v>
      </c>
      <c r="Q132" s="23"/>
      <c r="R132" s="23"/>
      <c r="S132" s="23"/>
    </row>
    <row r="133" spans="2:27" x14ac:dyDescent="0.25">
      <c r="Q133" s="23"/>
      <c r="R133" s="23"/>
      <c r="S133" s="23"/>
    </row>
    <row r="134" spans="2:27" x14ac:dyDescent="0.25">
      <c r="Q134" s="23"/>
      <c r="R134" s="23" t="s">
        <v>450</v>
      </c>
      <c r="S134" s="23"/>
    </row>
    <row r="135" spans="2:27" x14ac:dyDescent="0.25">
      <c r="B135" s="59" t="s">
        <v>382</v>
      </c>
      <c r="R135" s="23" t="s">
        <v>36</v>
      </c>
      <c r="S135" s="23">
        <v>2018</v>
      </c>
      <c r="T135" s="59" t="s">
        <v>281</v>
      </c>
      <c r="U135" s="59" t="s">
        <v>35</v>
      </c>
      <c r="V135" s="59">
        <v>0.13</v>
      </c>
      <c r="W135" s="59">
        <v>1</v>
      </c>
      <c r="X135" s="59">
        <v>43</v>
      </c>
      <c r="Y135" s="59">
        <v>36</v>
      </c>
      <c r="Z135" s="59">
        <v>315</v>
      </c>
      <c r="AA135" s="59" t="s">
        <v>94</v>
      </c>
    </row>
    <row r="136" spans="2:27" x14ac:dyDescent="0.25">
      <c r="B136" s="59" t="s">
        <v>260</v>
      </c>
      <c r="C136" s="59">
        <v>2006</v>
      </c>
      <c r="D136" s="59" t="s">
        <v>179</v>
      </c>
      <c r="E136" s="59" t="s">
        <v>281</v>
      </c>
      <c r="F136" s="59" t="s">
        <v>16</v>
      </c>
      <c r="G136" s="59">
        <v>0.3</v>
      </c>
      <c r="H136" s="59">
        <v>3</v>
      </c>
      <c r="I136" s="59">
        <v>56</v>
      </c>
      <c r="J136" s="59">
        <v>15</v>
      </c>
      <c r="K136" s="59">
        <v>659</v>
      </c>
      <c r="R136" s="23" t="s">
        <v>431</v>
      </c>
      <c r="S136" s="23">
        <v>2017</v>
      </c>
      <c r="T136" s="59" t="s">
        <v>281</v>
      </c>
      <c r="U136" s="59" t="s">
        <v>18</v>
      </c>
      <c r="W136" s="59">
        <v>0</v>
      </c>
      <c r="X136" s="59">
        <v>54</v>
      </c>
      <c r="Y136" s="59">
        <v>1</v>
      </c>
      <c r="Z136" s="59">
        <v>394</v>
      </c>
      <c r="AA136" s="59" t="s">
        <v>185</v>
      </c>
    </row>
    <row r="137" spans="2:27" x14ac:dyDescent="0.25">
      <c r="B137" s="59" t="s">
        <v>260</v>
      </c>
      <c r="C137" s="59">
        <v>2007</v>
      </c>
      <c r="D137" s="59" t="s">
        <v>179</v>
      </c>
      <c r="E137" s="59" t="s">
        <v>281</v>
      </c>
      <c r="F137" s="59" t="s">
        <v>16</v>
      </c>
      <c r="G137" s="59">
        <v>0.3</v>
      </c>
      <c r="H137" s="59">
        <v>16</v>
      </c>
      <c r="I137" s="59">
        <v>60</v>
      </c>
      <c r="J137" s="59">
        <v>27</v>
      </c>
      <c r="K137" s="59">
        <v>361</v>
      </c>
      <c r="R137" s="23" t="s">
        <v>54</v>
      </c>
      <c r="S137" s="23">
        <v>2012</v>
      </c>
      <c r="T137" s="59" t="s">
        <v>281</v>
      </c>
      <c r="U137" s="59" t="s">
        <v>18</v>
      </c>
      <c r="V137" s="59" t="s">
        <v>355</v>
      </c>
      <c r="W137" s="59">
        <v>1</v>
      </c>
      <c r="X137" s="59">
        <v>11</v>
      </c>
      <c r="Y137" s="59">
        <v>36</v>
      </c>
      <c r="Z137" s="59">
        <v>37</v>
      </c>
      <c r="AA137" s="59" t="s">
        <v>355</v>
      </c>
    </row>
    <row r="138" spans="2:27" x14ac:dyDescent="0.25">
      <c r="B138" s="59" t="s">
        <v>214</v>
      </c>
      <c r="C138" s="59">
        <v>2000</v>
      </c>
      <c r="D138" s="59" t="s">
        <v>179</v>
      </c>
      <c r="E138" s="59" t="s">
        <v>281</v>
      </c>
      <c r="F138" s="59" t="s">
        <v>16</v>
      </c>
      <c r="G138" s="59">
        <v>0.3</v>
      </c>
      <c r="H138" s="59">
        <v>103</v>
      </c>
      <c r="I138" s="59">
        <v>172</v>
      </c>
      <c r="J138" s="59">
        <v>68</v>
      </c>
      <c r="K138" s="59">
        <v>806</v>
      </c>
      <c r="R138" s="23" t="s">
        <v>207</v>
      </c>
      <c r="S138" s="23">
        <v>1996</v>
      </c>
      <c r="T138" s="59" t="s">
        <v>281</v>
      </c>
      <c r="U138" s="59" t="s">
        <v>329</v>
      </c>
      <c r="V138" s="59" t="s">
        <v>356</v>
      </c>
      <c r="W138" s="59">
        <v>1</v>
      </c>
      <c r="X138" s="59">
        <v>29</v>
      </c>
      <c r="Y138" s="59">
        <v>5</v>
      </c>
      <c r="Z138" s="59">
        <v>112</v>
      </c>
      <c r="AA138" s="59" t="s">
        <v>356</v>
      </c>
    </row>
    <row r="139" spans="2:27" x14ac:dyDescent="0.25">
      <c r="B139" s="59" t="s">
        <v>429</v>
      </c>
      <c r="C139" s="59">
        <v>2015</v>
      </c>
      <c r="D139" s="59" t="s">
        <v>55</v>
      </c>
      <c r="E139" s="59" t="s">
        <v>281</v>
      </c>
      <c r="F139" s="59" t="s">
        <v>16</v>
      </c>
      <c r="G139" s="59">
        <v>0.59</v>
      </c>
      <c r="H139" s="59">
        <v>0</v>
      </c>
      <c r="I139" s="59">
        <v>14</v>
      </c>
      <c r="J139" s="59">
        <v>1</v>
      </c>
      <c r="K139" s="59">
        <v>139</v>
      </c>
      <c r="R139" s="23" t="s">
        <v>208</v>
      </c>
      <c r="S139" s="23">
        <v>2000</v>
      </c>
      <c r="T139" s="59" t="s">
        <v>281</v>
      </c>
      <c r="U139" s="59" t="s">
        <v>262</v>
      </c>
      <c r="V139" s="59" t="s">
        <v>94</v>
      </c>
      <c r="W139" s="59">
        <v>1</v>
      </c>
      <c r="X139" s="59">
        <v>61</v>
      </c>
      <c r="Y139" s="59">
        <v>4</v>
      </c>
      <c r="Z139" s="59">
        <v>503</v>
      </c>
      <c r="AA139" s="59" t="s">
        <v>94</v>
      </c>
    </row>
    <row r="140" spans="2:27" x14ac:dyDescent="0.25">
      <c r="R140" s="23" t="s">
        <v>430</v>
      </c>
      <c r="S140" s="23">
        <v>2016</v>
      </c>
      <c r="T140" s="59" t="s">
        <v>281</v>
      </c>
      <c r="U140" s="59" t="s">
        <v>18</v>
      </c>
      <c r="V140" s="59">
        <v>0.09</v>
      </c>
      <c r="W140" s="59">
        <v>11</v>
      </c>
      <c r="X140" s="59">
        <v>5</v>
      </c>
      <c r="Y140" s="59">
        <v>12</v>
      </c>
      <c r="Z140" s="59">
        <v>139</v>
      </c>
      <c r="AA140" s="59" t="s">
        <v>185</v>
      </c>
    </row>
    <row r="141" spans="2:27" x14ac:dyDescent="0.25">
      <c r="B141" s="59" t="s">
        <v>260</v>
      </c>
      <c r="C141" s="23">
        <v>2006</v>
      </c>
      <c r="D141" s="23" t="s">
        <v>53</v>
      </c>
      <c r="E141" s="59" t="s">
        <v>281</v>
      </c>
      <c r="F141" s="59" t="s">
        <v>16</v>
      </c>
      <c r="G141" s="59">
        <v>7.0000000000000007E-2</v>
      </c>
      <c r="H141" s="59">
        <v>10</v>
      </c>
      <c r="I141" s="59">
        <v>132</v>
      </c>
      <c r="J141" s="59">
        <v>15</v>
      </c>
      <c r="K141" s="59">
        <v>659</v>
      </c>
      <c r="R141" s="23" t="s">
        <v>46</v>
      </c>
      <c r="S141" s="23">
        <v>2014</v>
      </c>
      <c r="T141" s="59" t="s">
        <v>281</v>
      </c>
      <c r="U141" s="59" t="s">
        <v>35</v>
      </c>
      <c r="V141" s="59" t="s">
        <v>94</v>
      </c>
      <c r="W141" s="59">
        <v>10</v>
      </c>
      <c r="X141" s="59">
        <v>90</v>
      </c>
      <c r="Y141" s="59">
        <v>98</v>
      </c>
      <c r="Z141" s="59">
        <v>884</v>
      </c>
      <c r="AA141" s="59" t="s">
        <v>94</v>
      </c>
    </row>
    <row r="142" spans="2:27" x14ac:dyDescent="0.25">
      <c r="B142" s="59" t="s">
        <v>260</v>
      </c>
      <c r="C142" s="23">
        <v>2007</v>
      </c>
      <c r="D142" s="23" t="s">
        <v>53</v>
      </c>
      <c r="E142" s="59" t="s">
        <v>281</v>
      </c>
      <c r="F142" s="59" t="s">
        <v>16</v>
      </c>
      <c r="G142" s="59">
        <v>7.0000000000000007E-2</v>
      </c>
      <c r="H142" s="59">
        <v>23</v>
      </c>
      <c r="I142" s="59">
        <v>78</v>
      </c>
      <c r="J142" s="59">
        <v>27</v>
      </c>
      <c r="K142" s="59">
        <v>361</v>
      </c>
      <c r="R142" s="23" t="s">
        <v>427</v>
      </c>
      <c r="S142" s="23">
        <v>2011</v>
      </c>
      <c r="T142" s="59" t="s">
        <v>151</v>
      </c>
      <c r="U142" s="59" t="s">
        <v>18</v>
      </c>
      <c r="V142" s="59">
        <v>0.27</v>
      </c>
      <c r="W142" s="59">
        <v>4</v>
      </c>
      <c r="X142" s="59">
        <v>16</v>
      </c>
      <c r="Y142" s="59">
        <v>17</v>
      </c>
      <c r="Z142" s="59">
        <v>165</v>
      </c>
      <c r="AA142" s="59" t="s">
        <v>185</v>
      </c>
    </row>
    <row r="143" spans="2:27" x14ac:dyDescent="0.25">
      <c r="B143" s="59" t="s">
        <v>214</v>
      </c>
      <c r="C143" s="23">
        <v>2000</v>
      </c>
      <c r="D143" s="23" t="s">
        <v>53</v>
      </c>
      <c r="E143" s="59" t="s">
        <v>281</v>
      </c>
      <c r="F143" s="59" t="s">
        <v>16</v>
      </c>
      <c r="G143" s="59">
        <v>0.1</v>
      </c>
      <c r="H143" s="59">
        <v>63</v>
      </c>
      <c r="I143" s="59">
        <v>117</v>
      </c>
      <c r="J143" s="59">
        <v>68</v>
      </c>
      <c r="K143" s="59">
        <v>806</v>
      </c>
      <c r="R143" s="23" t="s">
        <v>214</v>
      </c>
      <c r="S143" s="23">
        <v>2000</v>
      </c>
      <c r="T143" s="59" t="s">
        <v>281</v>
      </c>
      <c r="U143" s="59" t="s">
        <v>18</v>
      </c>
      <c r="W143" s="59">
        <v>27</v>
      </c>
      <c r="X143" s="59">
        <v>153</v>
      </c>
      <c r="Y143" s="59">
        <v>79</v>
      </c>
      <c r="Z143" s="59">
        <v>795</v>
      </c>
      <c r="AA143" s="59" t="s">
        <v>185</v>
      </c>
    </row>
    <row r="144" spans="2:27" x14ac:dyDescent="0.25">
      <c r="B144" s="59" t="s">
        <v>429</v>
      </c>
      <c r="C144" s="23">
        <v>2015</v>
      </c>
      <c r="D144" s="59" t="s">
        <v>53</v>
      </c>
      <c r="E144" s="59" t="s">
        <v>281</v>
      </c>
      <c r="F144" s="59" t="s">
        <v>16</v>
      </c>
      <c r="G144" s="59">
        <v>0.21</v>
      </c>
      <c r="H144" s="59">
        <v>2</v>
      </c>
      <c r="I144" s="59">
        <v>21</v>
      </c>
      <c r="J144" s="59">
        <v>1</v>
      </c>
      <c r="K144" s="59">
        <v>139</v>
      </c>
      <c r="R144" s="23" t="s">
        <v>122</v>
      </c>
      <c r="S144" s="23">
        <v>2015</v>
      </c>
      <c r="T144" s="59" t="s">
        <v>281</v>
      </c>
      <c r="U144" s="59" t="s">
        <v>18</v>
      </c>
      <c r="V144" s="59" t="s">
        <v>358</v>
      </c>
      <c r="W144" s="59">
        <v>0</v>
      </c>
      <c r="X144" s="59">
        <v>18</v>
      </c>
      <c r="Y144" s="59">
        <v>1</v>
      </c>
      <c r="Z144" s="59">
        <v>161</v>
      </c>
      <c r="AA144" s="59" t="s">
        <v>358</v>
      </c>
    </row>
    <row r="145" spans="2:28" x14ac:dyDescent="0.25">
      <c r="B145" s="59" t="s">
        <v>400</v>
      </c>
      <c r="G145" s="59" t="s">
        <v>451</v>
      </c>
      <c r="R145" s="23" t="s">
        <v>121</v>
      </c>
      <c r="S145" s="23">
        <v>2017</v>
      </c>
      <c r="T145" s="59" t="s">
        <v>151</v>
      </c>
      <c r="U145" s="59" t="s">
        <v>35</v>
      </c>
      <c r="V145" s="59" t="s">
        <v>94</v>
      </c>
      <c r="W145" s="59">
        <v>3</v>
      </c>
      <c r="X145" s="59">
        <v>42</v>
      </c>
      <c r="Y145" s="59">
        <v>26</v>
      </c>
      <c r="Z145" s="59">
        <v>288</v>
      </c>
      <c r="AA145" s="59" t="s">
        <v>94</v>
      </c>
    </row>
    <row r="146" spans="2:28" x14ac:dyDescent="0.25">
      <c r="R146" s="23" t="s">
        <v>428</v>
      </c>
      <c r="S146" s="23">
        <v>2013</v>
      </c>
      <c r="T146" s="59" t="s">
        <v>281</v>
      </c>
      <c r="U146" s="59" t="s">
        <v>18</v>
      </c>
      <c r="V146" s="59">
        <v>0.06</v>
      </c>
      <c r="W146" s="59">
        <v>0</v>
      </c>
      <c r="X146" s="59">
        <v>23</v>
      </c>
      <c r="Y146" s="59">
        <v>5</v>
      </c>
      <c r="Z146" s="59">
        <v>151</v>
      </c>
      <c r="AA146" s="59" t="s">
        <v>185</v>
      </c>
      <c r="AB146" s="24"/>
    </row>
    <row r="147" spans="2:28" x14ac:dyDescent="0.25">
      <c r="B147" s="59" t="s">
        <v>399</v>
      </c>
      <c r="R147" s="23" t="s">
        <v>99</v>
      </c>
      <c r="S147" s="23">
        <v>1995</v>
      </c>
      <c r="T147" s="59" t="s">
        <v>281</v>
      </c>
      <c r="U147" s="59" t="s">
        <v>262</v>
      </c>
      <c r="V147" s="59" t="s">
        <v>356</v>
      </c>
      <c r="W147" s="59">
        <v>4</v>
      </c>
      <c r="X147" s="59">
        <v>59</v>
      </c>
      <c r="Y147" s="59">
        <v>29</v>
      </c>
      <c r="Z147" s="59">
        <f>635-92</f>
        <v>543</v>
      </c>
      <c r="AA147" s="59" t="s">
        <v>356</v>
      </c>
      <c r="AB147" s="24"/>
    </row>
    <row r="148" spans="2:28" x14ac:dyDescent="0.25">
      <c r="B148" s="23" t="s">
        <v>343</v>
      </c>
      <c r="C148" s="23">
        <v>2012</v>
      </c>
      <c r="D148" s="23" t="s">
        <v>53</v>
      </c>
      <c r="E148" s="59" t="s">
        <v>151</v>
      </c>
      <c r="F148" s="59" t="s">
        <v>162</v>
      </c>
      <c r="G148" s="24" t="s">
        <v>94</v>
      </c>
      <c r="H148" s="59">
        <v>45</v>
      </c>
      <c r="I148" s="59">
        <v>49</v>
      </c>
      <c r="J148" s="59">
        <v>10</v>
      </c>
      <c r="K148" s="59">
        <v>444</v>
      </c>
      <c r="R148" s="23" t="s">
        <v>124</v>
      </c>
      <c r="S148" s="23">
        <v>1994</v>
      </c>
      <c r="T148" s="59" t="s">
        <v>281</v>
      </c>
      <c r="U148" s="59" t="s">
        <v>18</v>
      </c>
      <c r="V148" s="59" t="s">
        <v>185</v>
      </c>
      <c r="W148" s="59">
        <v>1</v>
      </c>
      <c r="X148" s="59">
        <v>9</v>
      </c>
      <c r="Y148" s="59">
        <v>2</v>
      </c>
      <c r="Z148" s="59">
        <v>88</v>
      </c>
      <c r="AA148" s="59" t="s">
        <v>185</v>
      </c>
      <c r="AB148" s="24"/>
    </row>
    <row r="149" spans="2:28" x14ac:dyDescent="0.25">
      <c r="B149" s="59" t="s">
        <v>427</v>
      </c>
      <c r="C149" s="23">
        <v>2011</v>
      </c>
      <c r="D149" s="23" t="s">
        <v>53</v>
      </c>
      <c r="E149" s="59" t="s">
        <v>151</v>
      </c>
      <c r="F149" s="59" t="s">
        <v>162</v>
      </c>
      <c r="G149" s="24">
        <v>0.27</v>
      </c>
      <c r="H149" s="59">
        <v>8</v>
      </c>
      <c r="I149" s="59">
        <v>12</v>
      </c>
      <c r="J149" s="59">
        <v>14</v>
      </c>
      <c r="K149" s="59">
        <v>168</v>
      </c>
    </row>
    <row r="151" spans="2:28" x14ac:dyDescent="0.25">
      <c r="B151" s="23" t="s">
        <v>40</v>
      </c>
      <c r="C151" s="23">
        <v>2012</v>
      </c>
      <c r="D151" s="23" t="s">
        <v>53</v>
      </c>
      <c r="E151" s="59" t="s">
        <v>281</v>
      </c>
      <c r="F151" s="59" t="s">
        <v>162</v>
      </c>
      <c r="G151" s="24" t="s">
        <v>94</v>
      </c>
      <c r="H151" s="59">
        <v>20</v>
      </c>
      <c r="I151" s="59">
        <v>97</v>
      </c>
      <c r="J151" s="59">
        <v>65</v>
      </c>
      <c r="K151" s="59">
        <v>718</v>
      </c>
    </row>
    <row r="152" spans="2:28" x14ac:dyDescent="0.25">
      <c r="B152" s="23" t="s">
        <v>260</v>
      </c>
      <c r="C152" s="23">
        <v>2007</v>
      </c>
      <c r="D152" s="23" t="s">
        <v>53</v>
      </c>
      <c r="E152" s="59" t="s">
        <v>281</v>
      </c>
      <c r="F152" s="59" t="s">
        <v>162</v>
      </c>
      <c r="G152" s="24">
        <v>7.0000000000000007E-2</v>
      </c>
      <c r="H152" s="59">
        <v>36</v>
      </c>
      <c r="I152" s="59">
        <v>65</v>
      </c>
      <c r="J152" s="59">
        <v>125</v>
      </c>
      <c r="K152" s="59">
        <v>263</v>
      </c>
    </row>
    <row r="153" spans="2:28" x14ac:dyDescent="0.25">
      <c r="B153" s="23" t="s">
        <v>260</v>
      </c>
      <c r="C153" s="23">
        <v>2006</v>
      </c>
      <c r="D153" s="23" t="s">
        <v>53</v>
      </c>
      <c r="E153" s="59" t="s">
        <v>281</v>
      </c>
      <c r="F153" s="59" t="s">
        <v>162</v>
      </c>
      <c r="G153" s="24">
        <v>7.0000000000000007E-2</v>
      </c>
      <c r="H153" s="59">
        <v>29</v>
      </c>
      <c r="I153" s="59">
        <v>113</v>
      </c>
      <c r="J153" s="59">
        <v>72</v>
      </c>
      <c r="K153" s="59">
        <v>612</v>
      </c>
    </row>
    <row r="154" spans="2:28" x14ac:dyDescent="0.25">
      <c r="B154" s="23" t="s">
        <v>208</v>
      </c>
      <c r="C154" s="23">
        <v>2000</v>
      </c>
      <c r="D154" s="23" t="s">
        <v>53</v>
      </c>
      <c r="E154" s="59" t="s">
        <v>281</v>
      </c>
      <c r="F154" s="59" t="s">
        <v>162</v>
      </c>
      <c r="G154" s="24">
        <v>0.17</v>
      </c>
      <c r="H154" s="59">
        <v>7</v>
      </c>
      <c r="I154" s="59">
        <v>55</v>
      </c>
      <c r="J154" s="59">
        <v>50</v>
      </c>
      <c r="K154" s="59">
        <v>457</v>
      </c>
      <c r="R154" s="23"/>
      <c r="S154" s="23"/>
      <c r="W154" s="24"/>
      <c r="X154" s="24"/>
      <c r="Y154" s="24"/>
      <c r="Z154" s="24"/>
      <c r="AA154" s="24"/>
    </row>
    <row r="155" spans="2:28" x14ac:dyDescent="0.25">
      <c r="B155" s="23" t="s">
        <v>99</v>
      </c>
      <c r="C155" s="23">
        <v>1995</v>
      </c>
      <c r="D155" s="23" t="s">
        <v>53</v>
      </c>
      <c r="E155" s="59" t="s">
        <v>281</v>
      </c>
      <c r="F155" s="59" t="s">
        <v>162</v>
      </c>
      <c r="G155" s="24">
        <v>6.5000000000000002E-2</v>
      </c>
      <c r="H155" s="59">
        <v>10</v>
      </c>
      <c r="I155" s="59">
        <v>53</v>
      </c>
      <c r="J155" s="59">
        <v>61</v>
      </c>
      <c r="K155" s="59">
        <v>448</v>
      </c>
    </row>
    <row r="156" spans="2:28" x14ac:dyDescent="0.25">
      <c r="B156" s="59" t="s">
        <v>429</v>
      </c>
      <c r="C156" s="23">
        <v>2015</v>
      </c>
      <c r="D156" s="23" t="s">
        <v>53</v>
      </c>
      <c r="E156" s="59" t="s">
        <v>281</v>
      </c>
      <c r="F156" s="59" t="s">
        <v>162</v>
      </c>
      <c r="G156" s="24">
        <v>0.21</v>
      </c>
      <c r="H156" s="59">
        <v>4</v>
      </c>
      <c r="I156" s="59">
        <v>19</v>
      </c>
      <c r="J156" s="59">
        <v>18</v>
      </c>
      <c r="K156" s="59">
        <v>122</v>
      </c>
    </row>
    <row r="157" spans="2:28" x14ac:dyDescent="0.25">
      <c r="B157" s="23" t="s">
        <v>124</v>
      </c>
      <c r="C157" s="23">
        <v>1994</v>
      </c>
      <c r="D157" s="23" t="s">
        <v>53</v>
      </c>
      <c r="E157" s="59" t="s">
        <v>281</v>
      </c>
      <c r="F157" s="59" t="s">
        <v>162</v>
      </c>
      <c r="G157" s="24">
        <v>0.1</v>
      </c>
      <c r="H157" s="59">
        <v>1</v>
      </c>
      <c r="I157" s="59">
        <v>9</v>
      </c>
      <c r="J157" s="59">
        <v>7</v>
      </c>
      <c r="K157" s="59">
        <v>83</v>
      </c>
    </row>
    <row r="158" spans="2:28" x14ac:dyDescent="0.25">
      <c r="B158" s="23" t="s">
        <v>241</v>
      </c>
      <c r="C158" s="23">
        <v>2014</v>
      </c>
      <c r="D158" s="23" t="s">
        <v>53</v>
      </c>
      <c r="E158" s="59" t="s">
        <v>281</v>
      </c>
      <c r="F158" s="59" t="s">
        <v>162</v>
      </c>
      <c r="G158" s="53" t="s">
        <v>94</v>
      </c>
      <c r="H158" s="59">
        <v>2</v>
      </c>
      <c r="I158" s="59">
        <v>9</v>
      </c>
      <c r="J158" s="59">
        <v>9</v>
      </c>
      <c r="K158" s="59">
        <v>72</v>
      </c>
    </row>
    <row r="159" spans="2:28" x14ac:dyDescent="0.25">
      <c r="B159" s="23"/>
      <c r="C159" s="23"/>
      <c r="D159" s="23"/>
      <c r="G159" s="53"/>
      <c r="J159" s="59" t="s">
        <v>86</v>
      </c>
      <c r="K159" s="59">
        <f>SUM(H151:K151,H154:K158)</f>
        <v>2396</v>
      </c>
    </row>
    <row r="162" spans="2:23" x14ac:dyDescent="0.25">
      <c r="B162" s="23" t="s">
        <v>123</v>
      </c>
      <c r="C162" s="23">
        <v>2012</v>
      </c>
      <c r="D162" s="59" t="s">
        <v>55</v>
      </c>
      <c r="E162" s="59" t="s">
        <v>151</v>
      </c>
      <c r="F162" s="59" t="s">
        <v>162</v>
      </c>
      <c r="G162" s="24" t="s">
        <v>381</v>
      </c>
      <c r="H162" s="24">
        <v>2</v>
      </c>
      <c r="I162" s="24">
        <v>50</v>
      </c>
      <c r="J162" s="24">
        <v>10</v>
      </c>
      <c r="K162" s="24">
        <v>444</v>
      </c>
    </row>
    <row r="163" spans="2:23" x14ac:dyDescent="0.25">
      <c r="B163" s="23" t="s">
        <v>427</v>
      </c>
      <c r="C163" s="23">
        <v>2011</v>
      </c>
      <c r="D163" s="59" t="s">
        <v>55</v>
      </c>
      <c r="E163" s="59" t="s">
        <v>151</v>
      </c>
      <c r="F163" s="59" t="s">
        <v>162</v>
      </c>
      <c r="G163" s="24">
        <v>0.64</v>
      </c>
      <c r="H163" s="24">
        <v>4</v>
      </c>
      <c r="I163" s="24">
        <v>20</v>
      </c>
      <c r="J163" s="24">
        <v>14</v>
      </c>
      <c r="K163" s="24">
        <v>168</v>
      </c>
    </row>
    <row r="164" spans="2:23" x14ac:dyDescent="0.25">
      <c r="S164" s="23"/>
      <c r="T164" s="23"/>
      <c r="W164" s="24"/>
    </row>
    <row r="165" spans="2:23" x14ac:dyDescent="0.25">
      <c r="B165" s="23" t="s">
        <v>40</v>
      </c>
      <c r="C165" s="23">
        <v>2012</v>
      </c>
      <c r="D165" s="59" t="s">
        <v>55</v>
      </c>
      <c r="E165" s="59" t="s">
        <v>281</v>
      </c>
      <c r="F165" s="59" t="s">
        <v>162</v>
      </c>
      <c r="G165" s="24" t="s">
        <v>381</v>
      </c>
      <c r="H165" s="24">
        <v>14</v>
      </c>
      <c r="I165" s="24">
        <v>86</v>
      </c>
      <c r="J165" s="24">
        <v>65</v>
      </c>
      <c r="K165" s="24">
        <v>718</v>
      </c>
    </row>
    <row r="166" spans="2:23" x14ac:dyDescent="0.25">
      <c r="B166" s="23" t="s">
        <v>260</v>
      </c>
      <c r="C166" s="23">
        <v>2007</v>
      </c>
      <c r="D166" s="59" t="s">
        <v>55</v>
      </c>
      <c r="E166" s="59" t="s">
        <v>281</v>
      </c>
      <c r="F166" s="59" t="s">
        <v>162</v>
      </c>
      <c r="G166" s="24">
        <v>0.3</v>
      </c>
      <c r="H166" s="24">
        <v>35</v>
      </c>
      <c r="I166" s="24">
        <v>41</v>
      </c>
      <c r="J166" s="24">
        <v>125</v>
      </c>
      <c r="K166" s="24">
        <v>263</v>
      </c>
      <c r="S166" s="23"/>
      <c r="T166" s="23"/>
      <c r="W166" s="24"/>
    </row>
    <row r="167" spans="2:23" x14ac:dyDescent="0.25">
      <c r="B167" s="23" t="s">
        <v>260</v>
      </c>
      <c r="C167" s="23">
        <v>2006</v>
      </c>
      <c r="D167" s="59" t="s">
        <v>55</v>
      </c>
      <c r="E167" s="59" t="s">
        <v>281</v>
      </c>
      <c r="F167" s="59" t="s">
        <v>162</v>
      </c>
      <c r="G167" s="24">
        <v>0.3</v>
      </c>
      <c r="H167" s="24">
        <v>9</v>
      </c>
      <c r="I167" s="24">
        <v>50</v>
      </c>
      <c r="J167" s="24">
        <v>72</v>
      </c>
      <c r="K167" s="24">
        <f>684-72</f>
        <v>612</v>
      </c>
      <c r="S167" s="23"/>
      <c r="T167" s="23"/>
      <c r="W167" s="24"/>
    </row>
    <row r="168" spans="2:23" x14ac:dyDescent="0.25">
      <c r="B168" s="23" t="s">
        <v>208</v>
      </c>
      <c r="C168" s="23">
        <v>2000</v>
      </c>
      <c r="D168" s="59" t="s">
        <v>55</v>
      </c>
      <c r="E168" s="59" t="s">
        <v>281</v>
      </c>
      <c r="F168" s="59" t="s">
        <v>162</v>
      </c>
      <c r="G168" s="24">
        <v>0.37</v>
      </c>
      <c r="H168" s="24">
        <v>10</v>
      </c>
      <c r="I168" s="24">
        <v>58</v>
      </c>
      <c r="J168" s="24">
        <v>50</v>
      </c>
      <c r="K168" s="24">
        <v>457</v>
      </c>
    </row>
    <row r="169" spans="2:23" x14ac:dyDescent="0.25">
      <c r="B169" s="23" t="s">
        <v>99</v>
      </c>
      <c r="C169" s="23">
        <v>1995</v>
      </c>
      <c r="D169" s="59" t="s">
        <v>55</v>
      </c>
      <c r="E169" s="59" t="s">
        <v>281</v>
      </c>
      <c r="F169" s="59" t="s">
        <v>162</v>
      </c>
      <c r="G169" s="24">
        <v>0.31900000000000001</v>
      </c>
      <c r="H169" s="24">
        <v>21</v>
      </c>
      <c r="I169" s="24">
        <v>42</v>
      </c>
      <c r="J169" s="24">
        <v>61</v>
      </c>
      <c r="K169" s="24">
        <v>448</v>
      </c>
    </row>
    <row r="170" spans="2:23" x14ac:dyDescent="0.25">
      <c r="B170" s="23" t="s">
        <v>429</v>
      </c>
      <c r="C170" s="23">
        <v>2015</v>
      </c>
      <c r="D170" s="59" t="s">
        <v>55</v>
      </c>
      <c r="E170" s="59" t="s">
        <v>281</v>
      </c>
      <c r="F170" s="59" t="s">
        <v>162</v>
      </c>
      <c r="G170" s="24">
        <v>0.59</v>
      </c>
      <c r="H170" s="24">
        <v>3</v>
      </c>
      <c r="I170" s="24">
        <v>11</v>
      </c>
      <c r="J170" s="24">
        <v>18</v>
      </c>
      <c r="K170" s="24">
        <v>122</v>
      </c>
    </row>
    <row r="171" spans="2:23" x14ac:dyDescent="0.25">
      <c r="B171" s="23" t="s">
        <v>241</v>
      </c>
      <c r="C171" s="23">
        <v>2014</v>
      </c>
      <c r="D171" s="59" t="s">
        <v>55</v>
      </c>
      <c r="E171" s="59" t="s">
        <v>281</v>
      </c>
      <c r="F171" s="59" t="s">
        <v>162</v>
      </c>
      <c r="G171" s="24" t="s">
        <v>381</v>
      </c>
      <c r="H171" s="24">
        <v>5</v>
      </c>
      <c r="I171" s="24">
        <v>5</v>
      </c>
      <c r="J171" s="24">
        <v>9</v>
      </c>
      <c r="K171" s="24">
        <v>72</v>
      </c>
    </row>
    <row r="172" spans="2:23" x14ac:dyDescent="0.25">
      <c r="J172" s="59" t="s">
        <v>86</v>
      </c>
      <c r="K172" s="59">
        <f>SUM(H165:K165,H168:K171)</f>
        <v>2275</v>
      </c>
    </row>
    <row r="176" spans="2:23" x14ac:dyDescent="0.25">
      <c r="B176" s="59" t="s">
        <v>434</v>
      </c>
    </row>
    <row r="177" spans="2:24" x14ac:dyDescent="0.25">
      <c r="B177" s="59" t="s">
        <v>123</v>
      </c>
      <c r="C177" s="23">
        <v>2012</v>
      </c>
      <c r="D177" s="23" t="s">
        <v>53</v>
      </c>
      <c r="E177" s="59" t="s">
        <v>151</v>
      </c>
      <c r="F177" s="59" t="s">
        <v>77</v>
      </c>
      <c r="G177" s="24" t="s">
        <v>94</v>
      </c>
      <c r="H177" s="59">
        <v>49</v>
      </c>
      <c r="I177" s="59">
        <v>45</v>
      </c>
      <c r="J177" s="59">
        <v>11</v>
      </c>
      <c r="K177" s="59">
        <v>444</v>
      </c>
    </row>
    <row r="179" spans="2:24" x14ac:dyDescent="0.25">
      <c r="B179" s="59" t="s">
        <v>36</v>
      </c>
      <c r="C179" s="23">
        <v>2018</v>
      </c>
      <c r="D179" s="23" t="s">
        <v>53</v>
      </c>
      <c r="E179" s="59" t="s">
        <v>281</v>
      </c>
      <c r="F179" s="59" t="s">
        <v>77</v>
      </c>
      <c r="G179" s="24">
        <v>0.13</v>
      </c>
      <c r="H179" s="59">
        <v>3</v>
      </c>
      <c r="I179" s="59">
        <v>41</v>
      </c>
      <c r="J179" s="59">
        <v>40</v>
      </c>
      <c r="K179" s="59">
        <v>316</v>
      </c>
      <c r="P179" s="23"/>
      <c r="T179" s="24"/>
    </row>
    <row r="180" spans="2:24" x14ac:dyDescent="0.25">
      <c r="B180" s="59" t="s">
        <v>431</v>
      </c>
      <c r="C180" s="23">
        <v>2017</v>
      </c>
      <c r="D180" s="59" t="s">
        <v>53</v>
      </c>
      <c r="E180" s="59" t="s">
        <v>281</v>
      </c>
      <c r="F180" s="59" t="s">
        <v>77</v>
      </c>
      <c r="G180" s="24" t="s">
        <v>94</v>
      </c>
      <c r="H180" s="59">
        <v>36</v>
      </c>
      <c r="I180" s="59">
        <v>18</v>
      </c>
      <c r="J180" s="59">
        <v>107</v>
      </c>
      <c r="K180" s="59">
        <v>288</v>
      </c>
      <c r="P180" s="23"/>
      <c r="T180" s="24"/>
    </row>
    <row r="181" spans="2:24" x14ac:dyDescent="0.25">
      <c r="B181" s="59" t="s">
        <v>40</v>
      </c>
      <c r="C181" s="23">
        <v>2012</v>
      </c>
      <c r="D181" s="23" t="s">
        <v>53</v>
      </c>
      <c r="E181" s="59" t="s">
        <v>281</v>
      </c>
      <c r="F181" s="59" t="s">
        <v>359</v>
      </c>
      <c r="G181" s="24" t="s">
        <v>94</v>
      </c>
      <c r="H181" s="59">
        <v>10</v>
      </c>
      <c r="I181" s="59">
        <v>107</v>
      </c>
      <c r="J181" s="59">
        <v>31</v>
      </c>
      <c r="K181" s="59">
        <v>752</v>
      </c>
      <c r="P181" s="23"/>
      <c r="Q181" s="23"/>
      <c r="T181" s="24"/>
    </row>
    <row r="182" spans="2:24" x14ac:dyDescent="0.25">
      <c r="B182" s="59" t="s">
        <v>260</v>
      </c>
      <c r="C182" s="23">
        <v>2006</v>
      </c>
      <c r="D182" s="23" t="s">
        <v>53</v>
      </c>
      <c r="E182" s="59" t="s">
        <v>281</v>
      </c>
      <c r="F182" s="59" t="s">
        <v>77</v>
      </c>
      <c r="G182" s="59">
        <v>7.0000000000000007E-2</v>
      </c>
      <c r="H182" s="59">
        <v>11</v>
      </c>
      <c r="I182" s="59">
        <v>131</v>
      </c>
      <c r="J182" s="59">
        <v>21</v>
      </c>
      <c r="K182" s="59">
        <v>683</v>
      </c>
      <c r="P182" s="23"/>
      <c r="Q182" s="23"/>
      <c r="T182" s="24"/>
    </row>
    <row r="183" spans="2:24" x14ac:dyDescent="0.25">
      <c r="B183" s="59" t="s">
        <v>54</v>
      </c>
      <c r="C183" s="23">
        <v>2012</v>
      </c>
      <c r="D183" s="23" t="s">
        <v>53</v>
      </c>
      <c r="E183" s="59" t="s">
        <v>281</v>
      </c>
      <c r="F183" s="59" t="s">
        <v>77</v>
      </c>
      <c r="G183" s="24" t="s">
        <v>94</v>
      </c>
      <c r="H183" s="59">
        <v>12</v>
      </c>
      <c r="I183" s="59">
        <v>0</v>
      </c>
      <c r="J183" s="59">
        <v>20</v>
      </c>
      <c r="K183" s="59">
        <v>53</v>
      </c>
      <c r="P183" s="23"/>
      <c r="Q183" s="23"/>
    </row>
    <row r="184" spans="2:24" x14ac:dyDescent="0.25">
      <c r="B184" s="59" t="s">
        <v>207</v>
      </c>
      <c r="C184" s="23">
        <v>1996</v>
      </c>
      <c r="D184" s="23" t="s">
        <v>53</v>
      </c>
      <c r="E184" s="59" t="s">
        <v>281</v>
      </c>
      <c r="F184" s="59" t="s">
        <v>77</v>
      </c>
      <c r="G184" s="24" t="s">
        <v>94</v>
      </c>
      <c r="H184" s="59">
        <v>26</v>
      </c>
      <c r="I184" s="59">
        <v>4</v>
      </c>
      <c r="J184" s="59">
        <v>12</v>
      </c>
      <c r="K184" s="59">
        <v>75</v>
      </c>
      <c r="P184" s="23"/>
      <c r="Q184" s="23"/>
      <c r="T184" s="24"/>
    </row>
    <row r="185" spans="2:24" x14ac:dyDescent="0.25">
      <c r="B185" s="59" t="s">
        <v>208</v>
      </c>
      <c r="C185" s="23">
        <v>2000</v>
      </c>
      <c r="D185" s="23" t="s">
        <v>53</v>
      </c>
      <c r="E185" s="59" t="s">
        <v>281</v>
      </c>
      <c r="F185" s="59" t="s">
        <v>77</v>
      </c>
      <c r="G185" s="59">
        <v>0.17</v>
      </c>
      <c r="H185" s="59">
        <v>0</v>
      </c>
      <c r="I185" s="59">
        <v>62</v>
      </c>
      <c r="J185" s="59">
        <v>7</v>
      </c>
      <c r="K185" s="59">
        <v>507</v>
      </c>
      <c r="P185" s="23"/>
      <c r="Q185" s="23"/>
    </row>
    <row r="186" spans="2:24" x14ac:dyDescent="0.25">
      <c r="B186" s="59" t="s">
        <v>182</v>
      </c>
      <c r="C186" s="23">
        <v>2006</v>
      </c>
      <c r="D186" s="23" t="s">
        <v>53</v>
      </c>
      <c r="E186" s="59" t="s">
        <v>281</v>
      </c>
      <c r="F186" s="59" t="s">
        <v>77</v>
      </c>
      <c r="G186" s="59">
        <v>0.17</v>
      </c>
      <c r="H186" s="59">
        <v>15</v>
      </c>
      <c r="I186" s="59">
        <v>63</v>
      </c>
      <c r="J186" s="59">
        <v>8</v>
      </c>
      <c r="K186" s="59">
        <v>526</v>
      </c>
      <c r="P186" s="23"/>
      <c r="Q186" s="23"/>
    </row>
    <row r="187" spans="2:24" x14ac:dyDescent="0.25">
      <c r="B187" s="59" t="s">
        <v>428</v>
      </c>
      <c r="C187" s="23">
        <v>2013</v>
      </c>
      <c r="D187" s="23" t="s">
        <v>53</v>
      </c>
      <c r="E187" s="59" t="s">
        <v>281</v>
      </c>
      <c r="F187" s="59" t="s">
        <v>77</v>
      </c>
      <c r="G187" s="59">
        <v>0.06</v>
      </c>
      <c r="H187" s="59">
        <v>7</v>
      </c>
      <c r="I187" s="59">
        <v>16</v>
      </c>
      <c r="J187" s="59">
        <v>19</v>
      </c>
      <c r="K187" s="59">
        <v>137</v>
      </c>
      <c r="P187" s="23"/>
      <c r="Q187" s="23"/>
    </row>
    <row r="188" spans="2:24" x14ac:dyDescent="0.25">
      <c r="B188" s="59" t="s">
        <v>99</v>
      </c>
      <c r="C188" s="23">
        <v>1995</v>
      </c>
      <c r="D188" s="23" t="s">
        <v>53</v>
      </c>
      <c r="E188" s="59" t="s">
        <v>281</v>
      </c>
      <c r="F188" s="59" t="s">
        <v>77</v>
      </c>
      <c r="G188" s="59">
        <v>6.5000000000000002E-2</v>
      </c>
      <c r="H188" s="59">
        <v>2</v>
      </c>
      <c r="I188" s="59">
        <v>61</v>
      </c>
      <c r="J188" s="59">
        <v>10</v>
      </c>
      <c r="K188" s="59">
        <v>499</v>
      </c>
      <c r="P188" s="23"/>
      <c r="Q188" s="23"/>
    </row>
    <row r="189" spans="2:24" x14ac:dyDescent="0.25">
      <c r="B189" s="59" t="s">
        <v>241</v>
      </c>
      <c r="C189" s="23">
        <v>2014</v>
      </c>
      <c r="D189" s="23" t="s">
        <v>53</v>
      </c>
      <c r="E189" s="59" t="s">
        <v>281</v>
      </c>
      <c r="F189" s="59" t="s">
        <v>77</v>
      </c>
      <c r="G189" s="24" t="s">
        <v>94</v>
      </c>
      <c r="H189" s="59">
        <v>6</v>
      </c>
      <c r="I189" s="59">
        <v>5</v>
      </c>
      <c r="J189" s="59">
        <v>18</v>
      </c>
      <c r="K189" s="59">
        <v>63</v>
      </c>
      <c r="P189" s="23"/>
      <c r="Q189" s="23"/>
      <c r="T189" s="24"/>
    </row>
    <row r="190" spans="2:24" x14ac:dyDescent="0.25">
      <c r="C190" s="23"/>
      <c r="D190" s="23"/>
      <c r="G190" s="24"/>
      <c r="J190" s="59" t="s">
        <v>86</v>
      </c>
      <c r="K190" s="59">
        <f>SUM(H179:K181,H183:K189)</f>
        <v>3982</v>
      </c>
      <c r="T190" s="24"/>
    </row>
    <row r="191" spans="2:24" x14ac:dyDescent="0.25">
      <c r="C191" s="23"/>
      <c r="D191" s="23"/>
      <c r="G191" s="24"/>
      <c r="T191" s="24"/>
    </row>
    <row r="192" spans="2:24" x14ac:dyDescent="0.25">
      <c r="B192" s="59" t="s">
        <v>123</v>
      </c>
      <c r="C192" s="23">
        <v>2012</v>
      </c>
      <c r="D192" s="59" t="s">
        <v>55</v>
      </c>
      <c r="E192" s="59" t="s">
        <v>151</v>
      </c>
      <c r="F192" s="59" t="s">
        <v>77</v>
      </c>
      <c r="G192" s="24" t="s">
        <v>381</v>
      </c>
      <c r="H192" s="24">
        <v>23</v>
      </c>
      <c r="I192" s="24">
        <v>29</v>
      </c>
      <c r="J192" s="24">
        <v>11</v>
      </c>
      <c r="K192" s="24">
        <v>444</v>
      </c>
      <c r="T192" s="24"/>
      <c r="U192" s="24"/>
      <c r="V192" s="24"/>
      <c r="W192" s="24"/>
      <c r="X192" s="24"/>
    </row>
    <row r="193" spans="2:24" x14ac:dyDescent="0.25">
      <c r="C193" s="23"/>
      <c r="G193" s="24"/>
      <c r="H193" s="24"/>
      <c r="I193" s="24"/>
      <c r="J193" s="24"/>
      <c r="K193" s="24"/>
      <c r="T193" s="24"/>
      <c r="U193" s="24"/>
      <c r="V193" s="24"/>
      <c r="W193" s="24"/>
      <c r="X193" s="24"/>
    </row>
    <row r="194" spans="2:24" x14ac:dyDescent="0.25">
      <c r="B194" s="59" t="s">
        <v>36</v>
      </c>
      <c r="C194" s="23">
        <v>2018</v>
      </c>
      <c r="D194" s="59" t="s">
        <v>55</v>
      </c>
      <c r="E194" s="59" t="s">
        <v>281</v>
      </c>
      <c r="F194" s="59" t="s">
        <v>273</v>
      </c>
      <c r="G194" s="59">
        <v>0.3</v>
      </c>
      <c r="H194" s="59">
        <v>7</v>
      </c>
      <c r="I194" s="59">
        <v>29</v>
      </c>
      <c r="J194" s="59">
        <v>40</v>
      </c>
      <c r="K194" s="59">
        <v>316</v>
      </c>
      <c r="T194" s="24"/>
      <c r="U194" s="24"/>
      <c r="V194" s="24"/>
      <c r="W194" s="24"/>
      <c r="X194" s="24"/>
    </row>
    <row r="195" spans="2:24" x14ac:dyDescent="0.25">
      <c r="B195" s="59" t="s">
        <v>431</v>
      </c>
      <c r="C195" s="23">
        <v>2017</v>
      </c>
      <c r="D195" s="59" t="s">
        <v>55</v>
      </c>
      <c r="E195" s="59" t="s">
        <v>281</v>
      </c>
      <c r="F195" s="59" t="s">
        <v>273</v>
      </c>
      <c r="G195" s="24" t="s">
        <v>381</v>
      </c>
      <c r="H195" s="59">
        <v>12</v>
      </c>
      <c r="I195" s="59">
        <v>39</v>
      </c>
      <c r="J195" s="59">
        <v>107</v>
      </c>
      <c r="K195" s="59">
        <v>288</v>
      </c>
      <c r="T195" s="24"/>
      <c r="U195" s="24"/>
      <c r="V195" s="24"/>
      <c r="W195" s="24"/>
      <c r="X195" s="24"/>
    </row>
    <row r="196" spans="2:24" x14ac:dyDescent="0.25">
      <c r="B196" s="59" t="s">
        <v>40</v>
      </c>
      <c r="C196" s="23">
        <v>2012</v>
      </c>
      <c r="D196" s="59" t="s">
        <v>55</v>
      </c>
      <c r="E196" s="59" t="s">
        <v>281</v>
      </c>
      <c r="F196" s="59" t="s">
        <v>344</v>
      </c>
      <c r="G196" s="24" t="s">
        <v>381</v>
      </c>
      <c r="H196" s="24">
        <v>10</v>
      </c>
      <c r="I196" s="24">
        <v>90</v>
      </c>
      <c r="J196" s="24">
        <v>31</v>
      </c>
      <c r="K196" s="24">
        <v>752</v>
      </c>
    </row>
    <row r="197" spans="2:24" x14ac:dyDescent="0.25">
      <c r="B197" s="59" t="s">
        <v>260</v>
      </c>
      <c r="C197" s="23">
        <v>2006</v>
      </c>
      <c r="D197" s="59" t="s">
        <v>55</v>
      </c>
      <c r="E197" s="59" t="s">
        <v>281</v>
      </c>
      <c r="F197" s="59" t="s">
        <v>273</v>
      </c>
      <c r="G197" s="24">
        <v>0.3</v>
      </c>
      <c r="H197" s="24">
        <v>2</v>
      </c>
      <c r="I197" s="24">
        <v>57</v>
      </c>
      <c r="J197" s="24">
        <v>21</v>
      </c>
      <c r="K197" s="24">
        <v>683</v>
      </c>
    </row>
    <row r="198" spans="2:24" x14ac:dyDescent="0.25">
      <c r="B198" s="59" t="s">
        <v>54</v>
      </c>
      <c r="C198" s="23">
        <v>2012</v>
      </c>
      <c r="D198" s="59" t="s">
        <v>55</v>
      </c>
      <c r="E198" s="59" t="s">
        <v>281</v>
      </c>
      <c r="F198" s="59" t="s">
        <v>77</v>
      </c>
      <c r="G198" s="24" t="s">
        <v>381</v>
      </c>
      <c r="H198" s="24">
        <v>8</v>
      </c>
      <c r="I198" s="24">
        <v>7</v>
      </c>
      <c r="J198" s="24">
        <v>20</v>
      </c>
      <c r="K198" s="24">
        <v>53</v>
      </c>
    </row>
    <row r="199" spans="2:24" x14ac:dyDescent="0.25">
      <c r="B199" s="59" t="s">
        <v>207</v>
      </c>
      <c r="C199" s="23">
        <v>1996</v>
      </c>
      <c r="D199" s="59" t="s">
        <v>55</v>
      </c>
      <c r="E199" s="59" t="s">
        <v>281</v>
      </c>
      <c r="F199" s="59" t="s">
        <v>77</v>
      </c>
      <c r="G199" s="24" t="s">
        <v>381</v>
      </c>
      <c r="H199" s="24">
        <v>1</v>
      </c>
      <c r="I199" s="24">
        <v>29</v>
      </c>
      <c r="J199" s="24">
        <v>12</v>
      </c>
      <c r="K199" s="24">
        <v>75</v>
      </c>
    </row>
    <row r="200" spans="2:24" x14ac:dyDescent="0.25">
      <c r="B200" s="59" t="s">
        <v>208</v>
      </c>
      <c r="C200" s="23">
        <v>2000</v>
      </c>
      <c r="D200" s="59" t="s">
        <v>55</v>
      </c>
      <c r="E200" s="59" t="s">
        <v>281</v>
      </c>
      <c r="F200" s="59" t="s">
        <v>77</v>
      </c>
      <c r="G200" s="24">
        <v>0.37</v>
      </c>
      <c r="H200" s="24">
        <v>1</v>
      </c>
      <c r="I200" s="24">
        <v>67</v>
      </c>
      <c r="J200" s="24">
        <v>7</v>
      </c>
      <c r="K200" s="24">
        <v>507</v>
      </c>
    </row>
    <row r="201" spans="2:24" x14ac:dyDescent="0.25">
      <c r="B201" s="59" t="s">
        <v>182</v>
      </c>
      <c r="C201" s="23">
        <v>2006</v>
      </c>
      <c r="D201" s="59" t="s">
        <v>55</v>
      </c>
      <c r="E201" s="59" t="s">
        <v>281</v>
      </c>
      <c r="F201" s="59" t="s">
        <v>77</v>
      </c>
      <c r="G201" s="24">
        <v>0.37</v>
      </c>
      <c r="H201" s="24">
        <v>20</v>
      </c>
      <c r="I201" s="24">
        <v>67</v>
      </c>
      <c r="J201" s="24">
        <v>8</v>
      </c>
      <c r="K201" s="24">
        <v>526</v>
      </c>
      <c r="L201" s="24"/>
    </row>
    <row r="202" spans="2:24" x14ac:dyDescent="0.25">
      <c r="B202" s="59" t="s">
        <v>428</v>
      </c>
      <c r="C202" s="23">
        <v>2013</v>
      </c>
      <c r="D202" s="59" t="s">
        <v>55</v>
      </c>
      <c r="E202" s="59" t="s">
        <v>281</v>
      </c>
      <c r="F202" s="59" t="s">
        <v>77</v>
      </c>
      <c r="G202" s="24">
        <v>0.48</v>
      </c>
      <c r="H202" s="24">
        <v>2</v>
      </c>
      <c r="I202" s="24">
        <v>19</v>
      </c>
      <c r="J202" s="24">
        <v>19</v>
      </c>
      <c r="K202" s="24">
        <v>137</v>
      </c>
      <c r="L202" s="24"/>
    </row>
    <row r="203" spans="2:24" x14ac:dyDescent="0.25">
      <c r="B203" s="59" t="s">
        <v>99</v>
      </c>
      <c r="C203" s="23">
        <v>1995</v>
      </c>
      <c r="D203" s="59" t="s">
        <v>55</v>
      </c>
      <c r="E203" s="59" t="s">
        <v>281</v>
      </c>
      <c r="F203" s="59" t="s">
        <v>77</v>
      </c>
      <c r="G203" s="24">
        <v>0.31900000000000001</v>
      </c>
      <c r="H203" s="24">
        <v>4</v>
      </c>
      <c r="I203" s="24">
        <v>59</v>
      </c>
      <c r="J203" s="24">
        <v>10</v>
      </c>
      <c r="K203" s="24">
        <v>499</v>
      </c>
    </row>
    <row r="204" spans="2:24" x14ac:dyDescent="0.25">
      <c r="B204" s="59" t="s">
        <v>241</v>
      </c>
      <c r="C204" s="23">
        <v>2014</v>
      </c>
      <c r="D204" s="59" t="s">
        <v>55</v>
      </c>
      <c r="E204" s="59" t="s">
        <v>281</v>
      </c>
      <c r="F204" s="59" t="s">
        <v>77</v>
      </c>
      <c r="G204" s="24" t="s">
        <v>381</v>
      </c>
      <c r="H204" s="24">
        <v>3</v>
      </c>
      <c r="I204" s="24">
        <v>7</v>
      </c>
      <c r="J204" s="24">
        <v>18</v>
      </c>
      <c r="K204" s="24">
        <v>63</v>
      </c>
    </row>
    <row r="205" spans="2:24" x14ac:dyDescent="0.25">
      <c r="J205" s="59" t="s">
        <v>86</v>
      </c>
      <c r="K205" s="59">
        <f>SUM(H194:K196,H198:K204)</f>
        <v>3969</v>
      </c>
    </row>
    <row r="207" spans="2:24" x14ac:dyDescent="0.25">
      <c r="B207" s="59" t="s">
        <v>431</v>
      </c>
      <c r="C207" s="59">
        <v>2017</v>
      </c>
      <c r="D207" s="59" t="s">
        <v>55</v>
      </c>
      <c r="E207" s="59" t="s">
        <v>281</v>
      </c>
      <c r="F207" s="59" t="s">
        <v>78</v>
      </c>
      <c r="G207" s="24" t="s">
        <v>381</v>
      </c>
      <c r="H207" s="24">
        <v>12</v>
      </c>
      <c r="I207" s="24">
        <v>39</v>
      </c>
      <c r="J207" s="24">
        <v>105</v>
      </c>
      <c r="K207" s="24">
        <v>290</v>
      </c>
    </row>
    <row r="208" spans="2:24" x14ac:dyDescent="0.25">
      <c r="B208" s="59" t="s">
        <v>207</v>
      </c>
      <c r="C208" s="59">
        <v>1996</v>
      </c>
      <c r="D208" s="59" t="s">
        <v>55</v>
      </c>
      <c r="E208" s="59" t="s">
        <v>281</v>
      </c>
      <c r="F208" s="59" t="s">
        <v>271</v>
      </c>
      <c r="G208" s="24" t="s">
        <v>381</v>
      </c>
      <c r="H208" s="59">
        <v>1</v>
      </c>
      <c r="I208" s="59">
        <v>29</v>
      </c>
      <c r="J208" s="59">
        <v>8</v>
      </c>
      <c r="K208" s="59">
        <v>79</v>
      </c>
    </row>
    <row r="209" spans="2:20" x14ac:dyDescent="0.25">
      <c r="B209" s="59" t="s">
        <v>46</v>
      </c>
      <c r="C209" s="59">
        <v>2014</v>
      </c>
      <c r="D209" s="59" t="s">
        <v>55</v>
      </c>
      <c r="E209" s="59" t="s">
        <v>281</v>
      </c>
      <c r="F209" s="59" t="s">
        <v>271</v>
      </c>
      <c r="G209" s="24">
        <v>0.32</v>
      </c>
      <c r="H209" s="24">
        <v>3</v>
      </c>
      <c r="I209" s="24">
        <v>105</v>
      </c>
      <c r="J209" s="24">
        <v>27</v>
      </c>
      <c r="K209" s="24">
        <v>849</v>
      </c>
    </row>
    <row r="211" spans="2:20" x14ac:dyDescent="0.25">
      <c r="B211" s="59" t="s">
        <v>431</v>
      </c>
      <c r="C211" s="23">
        <v>2017</v>
      </c>
      <c r="D211" s="23" t="s">
        <v>53</v>
      </c>
      <c r="E211" s="59" t="s">
        <v>281</v>
      </c>
      <c r="F211" s="59" t="s">
        <v>78</v>
      </c>
      <c r="G211" s="24" t="s">
        <v>94</v>
      </c>
      <c r="H211" s="59">
        <v>35</v>
      </c>
      <c r="I211" s="59">
        <v>19</v>
      </c>
      <c r="J211" s="59">
        <v>105</v>
      </c>
      <c r="K211" s="59">
        <v>290</v>
      </c>
    </row>
    <row r="212" spans="2:20" x14ac:dyDescent="0.25">
      <c r="B212" s="59" t="s">
        <v>207</v>
      </c>
      <c r="C212" s="23">
        <v>1996</v>
      </c>
      <c r="D212" s="23" t="s">
        <v>53</v>
      </c>
      <c r="E212" s="59" t="s">
        <v>281</v>
      </c>
      <c r="F212" s="59" t="s">
        <v>78</v>
      </c>
      <c r="G212" s="24" t="s">
        <v>94</v>
      </c>
      <c r="H212" s="59">
        <v>9</v>
      </c>
      <c r="I212" s="59">
        <v>21</v>
      </c>
      <c r="J212" s="59">
        <v>8</v>
      </c>
      <c r="K212" s="59">
        <v>79</v>
      </c>
    </row>
    <row r="213" spans="2:20" x14ac:dyDescent="0.25">
      <c r="B213" s="59" t="s">
        <v>46</v>
      </c>
      <c r="C213" s="23">
        <v>2014</v>
      </c>
      <c r="D213" s="23" t="s">
        <v>53</v>
      </c>
      <c r="E213" s="59" t="s">
        <v>281</v>
      </c>
      <c r="F213" s="59" t="s">
        <v>78</v>
      </c>
      <c r="G213" s="59">
        <v>0.1</v>
      </c>
      <c r="H213" s="59">
        <v>4</v>
      </c>
      <c r="I213" s="59">
        <v>104</v>
      </c>
      <c r="J213" s="59">
        <v>27</v>
      </c>
      <c r="K213" s="59">
        <v>849</v>
      </c>
    </row>
    <row r="215" spans="2:20" x14ac:dyDescent="0.25">
      <c r="B215" s="59" t="s">
        <v>283</v>
      </c>
    </row>
    <row r="216" spans="2:20" x14ac:dyDescent="0.25">
      <c r="B216" s="59" t="s">
        <v>36</v>
      </c>
      <c r="C216" s="23">
        <v>2018</v>
      </c>
      <c r="D216" s="23" t="s">
        <v>53</v>
      </c>
      <c r="E216" s="59" t="s">
        <v>281</v>
      </c>
      <c r="F216" s="59" t="s">
        <v>23</v>
      </c>
      <c r="G216" s="59">
        <v>0.13</v>
      </c>
      <c r="H216" s="59">
        <v>4</v>
      </c>
      <c r="I216" s="59">
        <v>40</v>
      </c>
      <c r="J216" s="59">
        <v>40</v>
      </c>
      <c r="K216" s="59">
        <v>311</v>
      </c>
      <c r="P216" s="23"/>
      <c r="Q216" s="23"/>
    </row>
    <row r="217" spans="2:20" x14ac:dyDescent="0.25">
      <c r="B217" s="59" t="s">
        <v>54</v>
      </c>
      <c r="C217" s="23">
        <v>2012</v>
      </c>
      <c r="D217" s="23" t="s">
        <v>53</v>
      </c>
      <c r="E217" s="59" t="s">
        <v>281</v>
      </c>
      <c r="F217" s="42" t="s">
        <v>23</v>
      </c>
      <c r="G217" s="53" t="s">
        <v>94</v>
      </c>
      <c r="H217" s="59">
        <v>4</v>
      </c>
      <c r="I217" s="59">
        <v>8</v>
      </c>
      <c r="J217" s="59">
        <v>11</v>
      </c>
      <c r="K217" s="59">
        <v>62</v>
      </c>
    </row>
    <row r="218" spans="2:20" x14ac:dyDescent="0.25">
      <c r="B218" s="59" t="s">
        <v>430</v>
      </c>
      <c r="C218" s="23">
        <v>2016</v>
      </c>
      <c r="D218" s="23" t="s">
        <v>53</v>
      </c>
      <c r="E218" s="59" t="s">
        <v>281</v>
      </c>
      <c r="F218" s="59" t="s">
        <v>23</v>
      </c>
      <c r="G218" s="59">
        <v>0.09</v>
      </c>
      <c r="H218" s="59">
        <v>8</v>
      </c>
      <c r="I218" s="59">
        <v>8</v>
      </c>
      <c r="J218" s="59">
        <v>15</v>
      </c>
      <c r="K218" s="59">
        <v>136</v>
      </c>
    </row>
    <row r="219" spans="2:20" x14ac:dyDescent="0.25">
      <c r="B219" s="59" t="s">
        <v>46</v>
      </c>
      <c r="C219" s="23">
        <v>2014</v>
      </c>
      <c r="D219" s="23" t="s">
        <v>53</v>
      </c>
      <c r="E219" s="59" t="s">
        <v>281</v>
      </c>
      <c r="F219" s="42" t="s">
        <v>23</v>
      </c>
      <c r="G219" s="31">
        <v>0.06</v>
      </c>
      <c r="H219" s="59">
        <v>5</v>
      </c>
      <c r="I219" s="59">
        <v>103</v>
      </c>
      <c r="J219" s="59">
        <v>56</v>
      </c>
      <c r="K219" s="59">
        <v>810</v>
      </c>
    </row>
    <row r="220" spans="2:20" x14ac:dyDescent="0.25">
      <c r="B220" s="59" t="s">
        <v>122</v>
      </c>
      <c r="C220" s="23">
        <v>2015</v>
      </c>
      <c r="D220" s="23" t="s">
        <v>53</v>
      </c>
      <c r="E220" s="59" t="s">
        <v>281</v>
      </c>
      <c r="F220" s="42" t="s">
        <v>23</v>
      </c>
      <c r="G220" s="59">
        <v>0.26</v>
      </c>
      <c r="H220" s="59">
        <v>0</v>
      </c>
      <c r="I220" s="59">
        <v>18</v>
      </c>
      <c r="J220" s="59">
        <v>3</v>
      </c>
      <c r="K220" s="59">
        <v>159</v>
      </c>
    </row>
    <row r="221" spans="2:20" x14ac:dyDescent="0.25">
      <c r="B221" s="59" t="s">
        <v>428</v>
      </c>
      <c r="C221" s="23">
        <v>2013</v>
      </c>
      <c r="D221" s="23" t="s">
        <v>53</v>
      </c>
      <c r="E221" s="59" t="s">
        <v>281</v>
      </c>
      <c r="F221" s="42" t="s">
        <v>23</v>
      </c>
      <c r="G221" s="59">
        <v>0.06</v>
      </c>
      <c r="H221" s="59">
        <v>10</v>
      </c>
      <c r="I221" s="59">
        <v>13</v>
      </c>
      <c r="J221" s="59">
        <v>19</v>
      </c>
      <c r="K221" s="59">
        <v>137</v>
      </c>
    </row>
    <row r="222" spans="2:20" x14ac:dyDescent="0.25">
      <c r="G222" s="24"/>
      <c r="H222" s="24"/>
      <c r="I222" s="24"/>
      <c r="J222" s="24"/>
      <c r="K222" s="24"/>
    </row>
    <row r="223" spans="2:20" x14ac:dyDescent="0.25">
      <c r="B223" s="59" t="s">
        <v>36</v>
      </c>
      <c r="C223" s="59">
        <v>2018</v>
      </c>
      <c r="D223" s="59" t="s">
        <v>55</v>
      </c>
      <c r="E223" s="59" t="s">
        <v>281</v>
      </c>
      <c r="F223" s="59" t="s">
        <v>23</v>
      </c>
      <c r="G223" s="24">
        <v>0.3</v>
      </c>
      <c r="H223" s="24">
        <v>5</v>
      </c>
      <c r="I223" s="24">
        <v>36</v>
      </c>
      <c r="J223" s="24">
        <v>40</v>
      </c>
      <c r="K223" s="24">
        <v>311</v>
      </c>
    </row>
    <row r="224" spans="2:20" x14ac:dyDescent="0.25">
      <c r="B224" s="59" t="s">
        <v>54</v>
      </c>
      <c r="C224" s="59">
        <v>2012</v>
      </c>
      <c r="D224" s="59" t="s">
        <v>55</v>
      </c>
      <c r="E224" s="59" t="s">
        <v>281</v>
      </c>
      <c r="F224" s="42" t="s">
        <v>23</v>
      </c>
      <c r="G224" s="24" t="s">
        <v>381</v>
      </c>
      <c r="H224" s="24">
        <v>3</v>
      </c>
      <c r="I224" s="24">
        <v>12</v>
      </c>
      <c r="J224" s="24">
        <v>11</v>
      </c>
      <c r="K224" s="24">
        <v>62</v>
      </c>
      <c r="P224" s="23"/>
      <c r="Q224" s="23"/>
      <c r="S224" s="42"/>
      <c r="T224" s="24"/>
    </row>
    <row r="225" spans="2:20" x14ac:dyDescent="0.25">
      <c r="B225" s="59" t="s">
        <v>430</v>
      </c>
      <c r="C225" s="59">
        <v>2016</v>
      </c>
      <c r="D225" s="59" t="s">
        <v>55</v>
      </c>
      <c r="E225" s="59" t="s">
        <v>281</v>
      </c>
      <c r="F225" s="59" t="s">
        <v>23</v>
      </c>
      <c r="G225" s="59">
        <v>0.26</v>
      </c>
      <c r="H225" s="59">
        <v>5</v>
      </c>
      <c r="I225" s="59">
        <v>11</v>
      </c>
      <c r="J225" s="59">
        <v>15</v>
      </c>
      <c r="K225" s="59">
        <v>136</v>
      </c>
      <c r="P225" s="23"/>
      <c r="Q225" s="23"/>
      <c r="T225" s="24"/>
    </row>
    <row r="226" spans="2:20" x14ac:dyDescent="0.25">
      <c r="B226" s="59" t="s">
        <v>46</v>
      </c>
      <c r="C226" s="59">
        <v>2014</v>
      </c>
      <c r="D226" s="59" t="s">
        <v>55</v>
      </c>
      <c r="E226" s="59" t="s">
        <v>281</v>
      </c>
      <c r="F226" s="42" t="s">
        <v>23</v>
      </c>
      <c r="G226" s="24">
        <v>0.38</v>
      </c>
      <c r="H226" s="24">
        <v>5</v>
      </c>
      <c r="I226" s="24">
        <v>103</v>
      </c>
      <c r="J226" s="24">
        <v>56</v>
      </c>
      <c r="K226" s="24">
        <v>810</v>
      </c>
      <c r="P226" s="23"/>
      <c r="Q226" s="23"/>
    </row>
    <row r="227" spans="2:20" x14ac:dyDescent="0.25">
      <c r="B227" s="59" t="s">
        <v>122</v>
      </c>
      <c r="C227" s="59">
        <v>2015</v>
      </c>
      <c r="D227" s="59" t="s">
        <v>55</v>
      </c>
      <c r="E227" s="59" t="s">
        <v>281</v>
      </c>
      <c r="F227" s="42" t="s">
        <v>23</v>
      </c>
      <c r="G227" s="24">
        <v>0.46</v>
      </c>
      <c r="H227" s="24">
        <v>0</v>
      </c>
      <c r="I227" s="24">
        <v>20</v>
      </c>
      <c r="J227" s="24">
        <v>3</v>
      </c>
      <c r="K227" s="24">
        <v>159</v>
      </c>
      <c r="P227" s="23"/>
      <c r="Q227" s="23"/>
    </row>
    <row r="228" spans="2:20" x14ac:dyDescent="0.25">
      <c r="B228" s="59" t="s">
        <v>428</v>
      </c>
      <c r="C228" s="59">
        <v>2013</v>
      </c>
      <c r="D228" s="59" t="s">
        <v>55</v>
      </c>
      <c r="E228" s="59" t="s">
        <v>281</v>
      </c>
      <c r="F228" s="42" t="s">
        <v>23</v>
      </c>
      <c r="G228" s="59">
        <v>0.48</v>
      </c>
      <c r="H228" s="24">
        <v>6</v>
      </c>
      <c r="I228" s="24">
        <v>15</v>
      </c>
      <c r="J228" s="24">
        <v>19</v>
      </c>
      <c r="K228" s="24">
        <v>137</v>
      </c>
    </row>
    <row r="231" spans="2:20" x14ac:dyDescent="0.25">
      <c r="B231" s="59" t="s">
        <v>291</v>
      </c>
    </row>
    <row r="232" spans="2:20" x14ac:dyDescent="0.25">
      <c r="B232" s="59" t="s">
        <v>123</v>
      </c>
      <c r="C232" s="23">
        <v>2012</v>
      </c>
      <c r="D232" s="23" t="s">
        <v>53</v>
      </c>
      <c r="E232" s="59" t="s">
        <v>151</v>
      </c>
      <c r="F232" s="59" t="s">
        <v>163</v>
      </c>
      <c r="G232" s="24" t="s">
        <v>94</v>
      </c>
      <c r="H232" s="59">
        <v>71</v>
      </c>
      <c r="I232" s="59">
        <v>23</v>
      </c>
      <c r="J232" s="59">
        <v>64</v>
      </c>
      <c r="K232" s="59">
        <v>442</v>
      </c>
    </row>
    <row r="233" spans="2:20" x14ac:dyDescent="0.25">
      <c r="B233" s="59" t="s">
        <v>427</v>
      </c>
      <c r="C233" s="23">
        <v>2011</v>
      </c>
      <c r="D233" s="23" t="s">
        <v>53</v>
      </c>
      <c r="E233" s="59" t="s">
        <v>151</v>
      </c>
      <c r="F233" s="42" t="s">
        <v>163</v>
      </c>
      <c r="G233" s="59">
        <v>0.27</v>
      </c>
      <c r="H233" s="59">
        <v>8</v>
      </c>
      <c r="I233" s="59">
        <v>12</v>
      </c>
      <c r="J233" s="59">
        <v>18</v>
      </c>
      <c r="K233" s="59">
        <v>164</v>
      </c>
    </row>
    <row r="234" spans="2:20" x14ac:dyDescent="0.25">
      <c r="B234" s="59" t="s">
        <v>122</v>
      </c>
      <c r="C234" s="23">
        <v>2015</v>
      </c>
      <c r="D234" s="23" t="s">
        <v>53</v>
      </c>
      <c r="E234" s="59" t="s">
        <v>151</v>
      </c>
      <c r="F234" s="59" t="s">
        <v>163</v>
      </c>
      <c r="G234" s="59">
        <v>0.26</v>
      </c>
      <c r="H234" s="59">
        <v>3</v>
      </c>
      <c r="I234" s="59">
        <v>15</v>
      </c>
      <c r="J234" s="59">
        <v>9</v>
      </c>
      <c r="K234" s="59">
        <v>173</v>
      </c>
    </row>
    <row r="235" spans="2:20" x14ac:dyDescent="0.25">
      <c r="C235" s="23"/>
      <c r="D235" s="23"/>
      <c r="G235" s="24"/>
    </row>
    <row r="236" spans="2:20" x14ac:dyDescent="0.25">
      <c r="B236" s="59" t="s">
        <v>431</v>
      </c>
      <c r="C236" s="23">
        <v>2017</v>
      </c>
      <c r="D236" s="23" t="s">
        <v>53</v>
      </c>
      <c r="E236" s="59" t="s">
        <v>433</v>
      </c>
      <c r="F236" s="42" t="s">
        <v>163</v>
      </c>
      <c r="G236" s="24" t="s">
        <v>94</v>
      </c>
      <c r="H236" s="59">
        <v>12</v>
      </c>
      <c r="I236" s="59">
        <v>42</v>
      </c>
      <c r="J236" s="59">
        <v>107</v>
      </c>
      <c r="K236" s="59">
        <v>288</v>
      </c>
    </row>
    <row r="237" spans="2:20" x14ac:dyDescent="0.25">
      <c r="B237" s="59" t="s">
        <v>40</v>
      </c>
      <c r="C237" s="23">
        <v>2012</v>
      </c>
      <c r="D237" s="23" t="s">
        <v>53</v>
      </c>
      <c r="E237" s="59" t="s">
        <v>281</v>
      </c>
      <c r="F237" s="59" t="s">
        <v>163</v>
      </c>
      <c r="G237" s="24" t="s">
        <v>94</v>
      </c>
      <c r="H237" s="59">
        <v>37</v>
      </c>
      <c r="I237" s="59">
        <v>74</v>
      </c>
      <c r="J237" s="59">
        <v>201</v>
      </c>
      <c r="K237" s="59">
        <v>649</v>
      </c>
    </row>
    <row r="238" spans="2:20" x14ac:dyDescent="0.25">
      <c r="B238" s="59" t="s">
        <v>430</v>
      </c>
      <c r="C238" s="23">
        <v>2016</v>
      </c>
      <c r="D238" s="23" t="s">
        <v>53</v>
      </c>
      <c r="E238" s="59" t="s">
        <v>281</v>
      </c>
      <c r="F238" s="59" t="s">
        <v>163</v>
      </c>
      <c r="G238" s="59">
        <v>0.09</v>
      </c>
      <c r="H238" s="59">
        <v>12</v>
      </c>
      <c r="I238" s="59">
        <v>4</v>
      </c>
      <c r="J238" s="59">
        <v>19</v>
      </c>
      <c r="K238" s="59">
        <v>132</v>
      </c>
    </row>
    <row r="239" spans="2:20" x14ac:dyDescent="0.25">
      <c r="B239" s="59" t="s">
        <v>182</v>
      </c>
      <c r="C239" s="23">
        <v>2006</v>
      </c>
      <c r="D239" s="23" t="s">
        <v>53</v>
      </c>
      <c r="E239" s="59" t="s">
        <v>281</v>
      </c>
      <c r="F239" s="59" t="s">
        <v>163</v>
      </c>
      <c r="G239" s="59">
        <v>0.17</v>
      </c>
      <c r="H239" s="59">
        <v>7</v>
      </c>
      <c r="I239" s="59">
        <v>71</v>
      </c>
      <c r="J239" s="59">
        <v>33</v>
      </c>
      <c r="K239" s="59">
        <v>588</v>
      </c>
    </row>
    <row r="240" spans="2:20" x14ac:dyDescent="0.25">
      <c r="B240" s="59" t="s">
        <v>241</v>
      </c>
      <c r="C240" s="23">
        <v>2014</v>
      </c>
      <c r="D240" s="23" t="s">
        <v>53</v>
      </c>
      <c r="E240" s="59" t="s">
        <v>281</v>
      </c>
      <c r="F240" s="59" t="s">
        <v>163</v>
      </c>
      <c r="G240" s="24" t="s">
        <v>94</v>
      </c>
      <c r="H240" s="59">
        <v>6</v>
      </c>
      <c r="I240" s="59">
        <v>5</v>
      </c>
      <c r="J240" s="59">
        <v>43</v>
      </c>
      <c r="K240" s="59">
        <v>48</v>
      </c>
    </row>
    <row r="242" spans="1:12" x14ac:dyDescent="0.25">
      <c r="B242" s="59" t="s">
        <v>123</v>
      </c>
      <c r="C242" s="59">
        <v>2012</v>
      </c>
      <c r="D242" s="59" t="s">
        <v>55</v>
      </c>
      <c r="E242" s="59" t="s">
        <v>151</v>
      </c>
      <c r="F242" s="59" t="s">
        <v>163</v>
      </c>
      <c r="G242" s="24" t="s">
        <v>381</v>
      </c>
      <c r="H242" s="24">
        <v>9</v>
      </c>
      <c r="I242" s="24">
        <v>43</v>
      </c>
      <c r="J242" s="24">
        <v>126</v>
      </c>
      <c r="K242" s="24">
        <v>422</v>
      </c>
    </row>
    <row r="243" spans="1:12" x14ac:dyDescent="0.25">
      <c r="B243" s="59" t="s">
        <v>427</v>
      </c>
      <c r="C243" s="59">
        <v>2011</v>
      </c>
      <c r="D243" s="59" t="s">
        <v>55</v>
      </c>
      <c r="E243" s="59" t="s">
        <v>281</v>
      </c>
      <c r="F243" s="42" t="s">
        <v>163</v>
      </c>
      <c r="G243" s="59">
        <v>0.64</v>
      </c>
      <c r="H243" s="59">
        <v>4</v>
      </c>
      <c r="I243" s="59">
        <v>20</v>
      </c>
      <c r="J243" s="59">
        <v>18</v>
      </c>
      <c r="K243" s="59">
        <v>164</v>
      </c>
    </row>
    <row r="244" spans="1:12" x14ac:dyDescent="0.25">
      <c r="A244" s="59" t="s">
        <v>432</v>
      </c>
      <c r="B244" s="59" t="s">
        <v>122</v>
      </c>
      <c r="C244" s="59">
        <v>2015</v>
      </c>
      <c r="D244" s="59" t="s">
        <v>55</v>
      </c>
      <c r="E244" s="59" t="s">
        <v>281</v>
      </c>
      <c r="F244" s="59" t="s">
        <v>163</v>
      </c>
      <c r="G244" s="24">
        <v>0.46</v>
      </c>
      <c r="H244" s="24">
        <v>4</v>
      </c>
      <c r="I244" s="24">
        <v>16</v>
      </c>
      <c r="J244" s="24">
        <v>8</v>
      </c>
      <c r="K244" s="24">
        <v>172</v>
      </c>
    </row>
    <row r="245" spans="1:12" x14ac:dyDescent="0.25">
      <c r="G245" s="24"/>
      <c r="H245" s="24"/>
      <c r="I245" s="24"/>
      <c r="J245" s="24"/>
      <c r="K245" s="24"/>
    </row>
    <row r="246" spans="1:12" x14ac:dyDescent="0.25">
      <c r="B246" s="59" t="s">
        <v>431</v>
      </c>
      <c r="C246" s="59">
        <v>2017</v>
      </c>
      <c r="D246" s="59" t="s">
        <v>55</v>
      </c>
      <c r="E246" s="59" t="s">
        <v>281</v>
      </c>
      <c r="F246" s="42" t="s">
        <v>163</v>
      </c>
      <c r="G246" s="24" t="s">
        <v>381</v>
      </c>
      <c r="H246" s="24">
        <v>22</v>
      </c>
      <c r="I246" s="24">
        <v>29</v>
      </c>
      <c r="J246" s="24">
        <v>107</v>
      </c>
      <c r="K246" s="24">
        <v>288</v>
      </c>
    </row>
    <row r="247" spans="1:12" x14ac:dyDescent="0.25">
      <c r="B247" s="59" t="s">
        <v>40</v>
      </c>
      <c r="C247" s="59">
        <v>2012</v>
      </c>
      <c r="D247" s="59" t="s">
        <v>55</v>
      </c>
      <c r="E247" s="59" t="s">
        <v>281</v>
      </c>
      <c r="F247" s="59" t="s">
        <v>163</v>
      </c>
      <c r="G247" s="24" t="s">
        <v>381</v>
      </c>
      <c r="H247" s="24">
        <v>36</v>
      </c>
      <c r="I247" s="24">
        <v>60</v>
      </c>
      <c r="J247" s="24">
        <v>202</v>
      </c>
      <c r="K247" s="24">
        <v>663</v>
      </c>
    </row>
    <row r="248" spans="1:12" x14ac:dyDescent="0.25">
      <c r="B248" s="59" t="s">
        <v>430</v>
      </c>
      <c r="C248" s="59">
        <v>2016</v>
      </c>
      <c r="D248" s="59" t="s">
        <v>55</v>
      </c>
      <c r="E248" s="59" t="s">
        <v>281</v>
      </c>
      <c r="F248" s="59" t="s">
        <v>163</v>
      </c>
      <c r="G248" s="59">
        <v>0.26</v>
      </c>
      <c r="H248" s="59">
        <v>4</v>
      </c>
      <c r="I248" s="59">
        <v>12</v>
      </c>
      <c r="J248" s="59">
        <v>19</v>
      </c>
      <c r="K248" s="59">
        <v>132</v>
      </c>
    </row>
    <row r="249" spans="1:12" x14ac:dyDescent="0.25">
      <c r="B249" s="59" t="s">
        <v>182</v>
      </c>
      <c r="C249" s="59">
        <v>2006</v>
      </c>
      <c r="D249" s="59" t="s">
        <v>55</v>
      </c>
      <c r="E249" s="59" t="s">
        <v>281</v>
      </c>
      <c r="F249" s="59" t="s">
        <v>163</v>
      </c>
      <c r="G249" s="24">
        <v>0.37</v>
      </c>
      <c r="H249" s="24">
        <v>23</v>
      </c>
      <c r="I249" s="24">
        <v>64</v>
      </c>
      <c r="J249" s="24">
        <v>17</v>
      </c>
      <c r="K249" s="24">
        <v>595</v>
      </c>
    </row>
    <row r="250" spans="1:12" x14ac:dyDescent="0.25">
      <c r="B250" s="59" t="s">
        <v>241</v>
      </c>
      <c r="C250" s="59">
        <v>2014</v>
      </c>
      <c r="D250" s="59" t="s">
        <v>55</v>
      </c>
      <c r="E250" s="59" t="s">
        <v>281</v>
      </c>
      <c r="F250" s="59" t="s">
        <v>163</v>
      </c>
      <c r="G250" s="24" t="s">
        <v>381</v>
      </c>
      <c r="H250" s="24">
        <v>8</v>
      </c>
      <c r="I250" s="24">
        <v>2</v>
      </c>
      <c r="J250" s="24">
        <v>41</v>
      </c>
      <c r="K250" s="24">
        <v>51</v>
      </c>
    </row>
    <row r="254" spans="1:12" x14ac:dyDescent="0.25">
      <c r="B254" s="59" t="s">
        <v>260</v>
      </c>
      <c r="C254" s="23">
        <v>2006</v>
      </c>
      <c r="D254" s="23" t="s">
        <v>53</v>
      </c>
      <c r="E254" s="59" t="s">
        <v>151</v>
      </c>
      <c r="F254" s="59" t="s">
        <v>35</v>
      </c>
      <c r="G254" s="59" t="s">
        <v>94</v>
      </c>
      <c r="I254" s="59">
        <v>3</v>
      </c>
      <c r="J254" s="59">
        <v>3</v>
      </c>
      <c r="K254" s="59">
        <v>10</v>
      </c>
      <c r="L254" s="59">
        <v>65</v>
      </c>
    </row>
    <row r="255" spans="1:12" x14ac:dyDescent="0.25">
      <c r="B255" s="59" t="s">
        <v>427</v>
      </c>
      <c r="C255" s="23">
        <v>2011</v>
      </c>
      <c r="D255" s="23" t="s">
        <v>53</v>
      </c>
      <c r="E255" s="59" t="s">
        <v>151</v>
      </c>
      <c r="F255" s="59" t="s">
        <v>18</v>
      </c>
      <c r="G255" s="23">
        <v>0.27</v>
      </c>
      <c r="I255" s="59">
        <v>4</v>
      </c>
      <c r="J255" s="59">
        <v>16</v>
      </c>
      <c r="K255" s="59">
        <v>17</v>
      </c>
      <c r="L255" s="59">
        <v>165</v>
      </c>
    </row>
    <row r="256" spans="1:12" ht="17.25" customHeight="1" x14ac:dyDescent="0.25">
      <c r="B256" s="59" t="s">
        <v>121</v>
      </c>
      <c r="C256" s="23">
        <v>2017</v>
      </c>
      <c r="D256" s="23" t="s">
        <v>53</v>
      </c>
      <c r="E256" s="59" t="s">
        <v>151</v>
      </c>
      <c r="F256" s="59" t="s">
        <v>35</v>
      </c>
      <c r="G256" s="59" t="s">
        <v>94</v>
      </c>
      <c r="I256" s="59">
        <v>3</v>
      </c>
      <c r="J256" s="59">
        <v>42</v>
      </c>
      <c r="K256" s="59">
        <v>42</v>
      </c>
      <c r="L256" s="59">
        <v>343</v>
      </c>
    </row>
    <row r="258" spans="2:12" x14ac:dyDescent="0.25">
      <c r="B258" s="59" t="s">
        <v>36</v>
      </c>
      <c r="C258" s="23">
        <v>2018</v>
      </c>
      <c r="D258" s="23" t="s">
        <v>53</v>
      </c>
      <c r="E258" s="59" t="s">
        <v>281</v>
      </c>
      <c r="F258" s="59" t="s">
        <v>35</v>
      </c>
      <c r="G258" s="59" t="s">
        <v>94</v>
      </c>
      <c r="H258" s="24">
        <v>0.13</v>
      </c>
      <c r="I258" s="59">
        <v>1</v>
      </c>
      <c r="J258" s="59">
        <v>43</v>
      </c>
      <c r="K258" s="59">
        <v>36</v>
      </c>
      <c r="L258" s="59">
        <v>315</v>
      </c>
    </row>
    <row r="259" spans="2:12" x14ac:dyDescent="0.25">
      <c r="B259" s="59" t="s">
        <v>431</v>
      </c>
      <c r="C259" s="23">
        <v>2017</v>
      </c>
      <c r="D259" s="23" t="s">
        <v>53</v>
      </c>
      <c r="E259" s="59" t="s">
        <v>281</v>
      </c>
      <c r="F259" s="59" t="s">
        <v>18</v>
      </c>
      <c r="G259" s="59" t="s">
        <v>248</v>
      </c>
      <c r="H259" s="24" t="s">
        <v>463</v>
      </c>
      <c r="I259" s="59">
        <v>0</v>
      </c>
      <c r="J259" s="59">
        <v>54</v>
      </c>
      <c r="K259" s="59">
        <v>1</v>
      </c>
      <c r="L259" s="59">
        <v>394</v>
      </c>
    </row>
    <row r="260" spans="2:12" x14ac:dyDescent="0.25">
      <c r="B260" s="59" t="s">
        <v>54</v>
      </c>
      <c r="C260" s="23">
        <v>2012</v>
      </c>
      <c r="D260" s="23" t="s">
        <v>53</v>
      </c>
      <c r="E260" s="59" t="s">
        <v>281</v>
      </c>
      <c r="F260" s="59" t="s">
        <v>18</v>
      </c>
      <c r="G260" s="59" t="s">
        <v>248</v>
      </c>
      <c r="H260" s="24" t="s">
        <v>463</v>
      </c>
      <c r="I260" s="59">
        <v>1</v>
      </c>
      <c r="J260" s="59">
        <v>11</v>
      </c>
      <c r="K260" s="59">
        <v>36</v>
      </c>
      <c r="L260" s="59">
        <v>37</v>
      </c>
    </row>
    <row r="261" spans="2:12" x14ac:dyDescent="0.25">
      <c r="B261" s="59" t="s">
        <v>207</v>
      </c>
      <c r="C261" s="23">
        <v>1996</v>
      </c>
      <c r="D261" s="23" t="s">
        <v>53</v>
      </c>
      <c r="E261" s="59" t="s">
        <v>281</v>
      </c>
      <c r="F261" s="59" t="s">
        <v>329</v>
      </c>
      <c r="G261" s="59" t="s">
        <v>94</v>
      </c>
      <c r="H261" s="24" t="s">
        <v>463</v>
      </c>
      <c r="I261" s="59">
        <v>1</v>
      </c>
      <c r="J261" s="59">
        <v>29</v>
      </c>
      <c r="K261" s="59">
        <v>5</v>
      </c>
      <c r="L261" s="59">
        <v>112</v>
      </c>
    </row>
    <row r="262" spans="2:12" x14ac:dyDescent="0.25">
      <c r="B262" s="59" t="s">
        <v>208</v>
      </c>
      <c r="C262" s="23">
        <v>2000</v>
      </c>
      <c r="D262" s="23" t="s">
        <v>53</v>
      </c>
      <c r="E262" s="59" t="s">
        <v>281</v>
      </c>
      <c r="F262" s="59" t="s">
        <v>262</v>
      </c>
      <c r="G262" s="59" t="s">
        <v>94</v>
      </c>
      <c r="H262" s="24">
        <v>0.17</v>
      </c>
      <c r="I262" s="59">
        <v>3</v>
      </c>
      <c r="J262" s="59">
        <v>59</v>
      </c>
      <c r="K262" s="59">
        <v>4</v>
      </c>
      <c r="L262" s="59">
        <v>503</v>
      </c>
    </row>
    <row r="263" spans="2:12" x14ac:dyDescent="0.25">
      <c r="B263" s="59" t="s">
        <v>430</v>
      </c>
      <c r="C263" s="23">
        <v>2016</v>
      </c>
      <c r="D263" s="23" t="s">
        <v>53</v>
      </c>
      <c r="E263" s="59" t="s">
        <v>281</v>
      </c>
      <c r="F263" s="59" t="s">
        <v>18</v>
      </c>
      <c r="G263" s="59" t="s">
        <v>248</v>
      </c>
      <c r="H263" s="24">
        <v>0.09</v>
      </c>
      <c r="I263" s="59">
        <v>11</v>
      </c>
      <c r="J263" s="59">
        <v>5</v>
      </c>
      <c r="K263" s="59">
        <v>12</v>
      </c>
      <c r="L263" s="59">
        <v>139</v>
      </c>
    </row>
    <row r="264" spans="2:12" x14ac:dyDescent="0.25">
      <c r="B264" s="59" t="s">
        <v>46</v>
      </c>
      <c r="C264" s="23">
        <v>2014</v>
      </c>
      <c r="D264" s="23" t="s">
        <v>53</v>
      </c>
      <c r="E264" s="59" t="s">
        <v>281</v>
      </c>
      <c r="F264" s="59" t="s">
        <v>35</v>
      </c>
      <c r="G264" s="59" t="s">
        <v>94</v>
      </c>
      <c r="H264" s="24">
        <v>0.1</v>
      </c>
      <c r="I264" s="59">
        <v>10</v>
      </c>
      <c r="J264" s="59">
        <v>90</v>
      </c>
      <c r="K264" s="59">
        <v>83</v>
      </c>
      <c r="L264" s="59">
        <v>799</v>
      </c>
    </row>
    <row r="265" spans="2:12" x14ac:dyDescent="0.25">
      <c r="B265" s="59" t="s">
        <v>214</v>
      </c>
      <c r="C265" s="23">
        <v>2000</v>
      </c>
      <c r="D265" s="23" t="s">
        <v>53</v>
      </c>
      <c r="E265" s="59" t="s">
        <v>281</v>
      </c>
      <c r="F265" s="59" t="s">
        <v>18</v>
      </c>
      <c r="G265" s="59" t="s">
        <v>248</v>
      </c>
      <c r="H265" s="24">
        <v>0.1</v>
      </c>
      <c r="I265" s="59">
        <v>27</v>
      </c>
      <c r="J265" s="59">
        <f>180-27</f>
        <v>153</v>
      </c>
      <c r="K265" s="59">
        <v>79</v>
      </c>
      <c r="L265" s="59">
        <v>795</v>
      </c>
    </row>
    <row r="266" spans="2:12" x14ac:dyDescent="0.25">
      <c r="B266" s="59" t="s">
        <v>122</v>
      </c>
      <c r="C266" s="23">
        <v>2015</v>
      </c>
      <c r="D266" s="23" t="s">
        <v>53</v>
      </c>
      <c r="E266" s="59" t="s">
        <v>281</v>
      </c>
      <c r="F266" s="59" t="s">
        <v>18</v>
      </c>
      <c r="G266" s="59" t="s">
        <v>94</v>
      </c>
      <c r="H266" s="24">
        <v>0.26</v>
      </c>
      <c r="I266" s="59">
        <v>0</v>
      </c>
      <c r="J266" s="59">
        <v>18</v>
      </c>
      <c r="K266" s="59">
        <v>1</v>
      </c>
      <c r="L266" s="59">
        <v>161</v>
      </c>
    </row>
    <row r="267" spans="2:12" x14ac:dyDescent="0.25">
      <c r="B267" s="59" t="s">
        <v>428</v>
      </c>
      <c r="C267" s="23">
        <v>2013</v>
      </c>
      <c r="D267" s="23" t="s">
        <v>53</v>
      </c>
      <c r="E267" s="59" t="s">
        <v>281</v>
      </c>
      <c r="F267" s="59" t="s">
        <v>18</v>
      </c>
      <c r="G267" s="59" t="s">
        <v>248</v>
      </c>
      <c r="H267" s="24">
        <v>0.06</v>
      </c>
      <c r="I267" s="59">
        <v>0</v>
      </c>
      <c r="J267" s="59">
        <v>23</v>
      </c>
      <c r="K267" s="59">
        <v>5</v>
      </c>
      <c r="L267" s="59">
        <v>151</v>
      </c>
    </row>
    <row r="268" spans="2:12" x14ac:dyDescent="0.25">
      <c r="B268" s="59" t="s">
        <v>99</v>
      </c>
      <c r="C268" s="23">
        <v>1995</v>
      </c>
      <c r="D268" s="23" t="s">
        <v>53</v>
      </c>
      <c r="E268" s="59" t="s">
        <v>281</v>
      </c>
      <c r="F268" s="59" t="s">
        <v>262</v>
      </c>
      <c r="G268" s="59" t="s">
        <v>94</v>
      </c>
      <c r="H268" s="24">
        <v>6.5000000000000002E-2</v>
      </c>
      <c r="I268" s="59">
        <v>4</v>
      </c>
      <c r="J268" s="59">
        <v>59</v>
      </c>
      <c r="K268" s="59">
        <v>24</v>
      </c>
      <c r="L268" s="59">
        <f>543-58</f>
        <v>485</v>
      </c>
    </row>
    <row r="269" spans="2:12" x14ac:dyDescent="0.25">
      <c r="B269" s="59" t="s">
        <v>124</v>
      </c>
      <c r="C269" s="23">
        <v>1994</v>
      </c>
      <c r="D269" s="23" t="s">
        <v>53</v>
      </c>
      <c r="E269" s="59" t="s">
        <v>281</v>
      </c>
      <c r="F269" s="59" t="s">
        <v>18</v>
      </c>
      <c r="G269" s="59" t="s">
        <v>248</v>
      </c>
      <c r="H269" s="24">
        <v>0.1</v>
      </c>
      <c r="I269" s="59">
        <v>1</v>
      </c>
      <c r="J269" s="59">
        <v>9</v>
      </c>
      <c r="K269" s="59">
        <v>2</v>
      </c>
      <c r="L269" s="59">
        <v>88</v>
      </c>
    </row>
    <row r="272" spans="2:12" x14ac:dyDescent="0.25">
      <c r="B272" s="59" t="s">
        <v>260</v>
      </c>
      <c r="C272" s="59">
        <v>2006</v>
      </c>
      <c r="D272" s="59" t="s">
        <v>55</v>
      </c>
      <c r="E272" s="59" t="s">
        <v>151</v>
      </c>
      <c r="F272" s="59" t="s">
        <v>35</v>
      </c>
      <c r="H272" s="59">
        <v>0.3</v>
      </c>
      <c r="I272" s="24">
        <v>2</v>
      </c>
      <c r="J272" s="24">
        <v>5</v>
      </c>
      <c r="K272" s="24">
        <v>11</v>
      </c>
      <c r="L272" s="24">
        <v>63</v>
      </c>
    </row>
    <row r="273" spans="2:13" x14ac:dyDescent="0.25">
      <c r="B273" s="59" t="s">
        <v>121</v>
      </c>
      <c r="C273" s="59">
        <v>2017</v>
      </c>
      <c r="D273" s="59" t="s">
        <v>55</v>
      </c>
      <c r="E273" s="59" t="s">
        <v>151</v>
      </c>
      <c r="F273" s="59" t="s">
        <v>35</v>
      </c>
      <c r="H273" s="59">
        <v>0.6</v>
      </c>
      <c r="I273" s="24">
        <v>6</v>
      </c>
      <c r="J273" s="24">
        <v>55</v>
      </c>
      <c r="K273" s="24">
        <v>39</v>
      </c>
      <c r="L273" s="24">
        <v>330</v>
      </c>
    </row>
    <row r="274" spans="2:13" x14ac:dyDescent="0.25">
      <c r="B274" s="59" t="s">
        <v>427</v>
      </c>
      <c r="C274" s="59">
        <v>2011</v>
      </c>
      <c r="D274" s="59" t="s">
        <v>55</v>
      </c>
      <c r="E274" s="59" t="s">
        <v>151</v>
      </c>
      <c r="F274" s="59" t="s">
        <v>18</v>
      </c>
      <c r="H274" s="59">
        <v>0.64</v>
      </c>
      <c r="I274" s="24">
        <v>6</v>
      </c>
      <c r="J274" s="24">
        <v>18</v>
      </c>
      <c r="K274" s="24">
        <v>17</v>
      </c>
      <c r="L274" s="24">
        <v>165</v>
      </c>
    </row>
    <row r="276" spans="2:13" x14ac:dyDescent="0.25">
      <c r="B276" s="59" t="s">
        <v>36</v>
      </c>
      <c r="C276" s="59">
        <v>2018</v>
      </c>
      <c r="D276" s="59" t="s">
        <v>55</v>
      </c>
      <c r="E276" s="59" t="s">
        <v>281</v>
      </c>
      <c r="F276" s="59" t="s">
        <v>35</v>
      </c>
      <c r="G276" s="59" t="s">
        <v>94</v>
      </c>
      <c r="H276" s="59">
        <v>0.3</v>
      </c>
      <c r="I276" s="24">
        <v>4</v>
      </c>
      <c r="J276" s="24">
        <v>40</v>
      </c>
      <c r="K276" s="24">
        <v>36</v>
      </c>
      <c r="L276" s="24">
        <v>315</v>
      </c>
    </row>
    <row r="277" spans="2:13" x14ac:dyDescent="0.25">
      <c r="B277" s="59" t="s">
        <v>431</v>
      </c>
      <c r="C277" s="59">
        <v>2017</v>
      </c>
      <c r="D277" s="59" t="s">
        <v>55</v>
      </c>
      <c r="E277" s="59" t="s">
        <v>281</v>
      </c>
      <c r="F277" s="59" t="s">
        <v>18</v>
      </c>
      <c r="G277" s="59" t="s">
        <v>248</v>
      </c>
      <c r="H277" s="24" t="s">
        <v>381</v>
      </c>
      <c r="I277" s="59">
        <v>19</v>
      </c>
      <c r="J277" s="59">
        <v>32</v>
      </c>
      <c r="K277" s="59">
        <v>1</v>
      </c>
      <c r="L277" s="59">
        <v>394</v>
      </c>
    </row>
    <row r="278" spans="2:13" x14ac:dyDescent="0.25">
      <c r="B278" s="59" t="s">
        <v>54</v>
      </c>
      <c r="C278" s="59">
        <v>2012</v>
      </c>
      <c r="D278" s="59" t="s">
        <v>55</v>
      </c>
      <c r="E278" s="59" t="s">
        <v>281</v>
      </c>
      <c r="F278" s="59" t="s">
        <v>18</v>
      </c>
      <c r="G278" s="59" t="s">
        <v>248</v>
      </c>
      <c r="H278" s="24" t="s">
        <v>381</v>
      </c>
      <c r="I278" s="24">
        <v>11</v>
      </c>
      <c r="J278" s="24">
        <v>4</v>
      </c>
      <c r="K278" s="24">
        <v>36</v>
      </c>
      <c r="L278" s="24">
        <v>37</v>
      </c>
    </row>
    <row r="279" spans="2:13" x14ac:dyDescent="0.25">
      <c r="B279" s="59" t="s">
        <v>207</v>
      </c>
      <c r="C279" s="59">
        <v>1996</v>
      </c>
      <c r="D279" s="59" t="s">
        <v>55</v>
      </c>
      <c r="E279" s="59" t="s">
        <v>281</v>
      </c>
      <c r="F279" s="59" t="s">
        <v>329</v>
      </c>
      <c r="G279" s="59" t="s">
        <v>94</v>
      </c>
      <c r="H279" s="24" t="s">
        <v>381</v>
      </c>
      <c r="I279" s="24">
        <v>2</v>
      </c>
      <c r="J279" s="24">
        <v>28</v>
      </c>
      <c r="K279" s="24">
        <v>5</v>
      </c>
      <c r="L279" s="24">
        <v>112</v>
      </c>
    </row>
    <row r="280" spans="2:13" x14ac:dyDescent="0.25">
      <c r="B280" s="59" t="s">
        <v>208</v>
      </c>
      <c r="C280" s="59">
        <v>2000</v>
      </c>
      <c r="D280" s="59" t="s">
        <v>55</v>
      </c>
      <c r="E280" s="59" t="s">
        <v>281</v>
      </c>
      <c r="F280" s="59" t="s">
        <v>262</v>
      </c>
      <c r="G280" s="59" t="s">
        <v>94</v>
      </c>
      <c r="H280" s="59">
        <v>0.37</v>
      </c>
      <c r="I280" s="24">
        <v>1</v>
      </c>
      <c r="J280" s="24">
        <v>67</v>
      </c>
      <c r="K280" s="24">
        <v>4</v>
      </c>
      <c r="L280" s="24">
        <v>503</v>
      </c>
    </row>
    <row r="281" spans="2:13" x14ac:dyDescent="0.25">
      <c r="B281" s="59" t="s">
        <v>430</v>
      </c>
      <c r="C281" s="59">
        <v>2016</v>
      </c>
      <c r="D281" s="59" t="s">
        <v>55</v>
      </c>
      <c r="E281" s="59" t="s">
        <v>281</v>
      </c>
      <c r="F281" s="59" t="s">
        <v>18</v>
      </c>
      <c r="G281" s="59" t="s">
        <v>248</v>
      </c>
      <c r="H281" s="59">
        <v>0.26</v>
      </c>
      <c r="I281" s="24">
        <v>4</v>
      </c>
      <c r="J281" s="24">
        <v>12</v>
      </c>
      <c r="K281" s="24">
        <v>12</v>
      </c>
      <c r="L281" s="24">
        <v>139</v>
      </c>
    </row>
    <row r="282" spans="2:13" x14ac:dyDescent="0.25">
      <c r="B282" s="59" t="s">
        <v>46</v>
      </c>
      <c r="C282" s="59">
        <v>2014</v>
      </c>
      <c r="D282" s="59" t="s">
        <v>55</v>
      </c>
      <c r="E282" s="59" t="s">
        <v>281</v>
      </c>
      <c r="F282" s="59" t="s">
        <v>35</v>
      </c>
      <c r="G282" s="59" t="s">
        <v>94</v>
      </c>
      <c r="H282" s="59">
        <v>0.32</v>
      </c>
      <c r="I282" s="24">
        <v>15</v>
      </c>
      <c r="J282" s="24">
        <v>85</v>
      </c>
      <c r="K282" s="24">
        <v>83</v>
      </c>
      <c r="L282" s="24">
        <v>799</v>
      </c>
    </row>
    <row r="283" spans="2:13" x14ac:dyDescent="0.25">
      <c r="B283" s="59" t="s">
        <v>214</v>
      </c>
      <c r="C283" s="59">
        <v>2000</v>
      </c>
      <c r="D283" s="59" t="s">
        <v>55</v>
      </c>
      <c r="E283" s="59" t="s">
        <v>281</v>
      </c>
      <c r="F283" s="59" t="s">
        <v>18</v>
      </c>
      <c r="G283" s="59" t="s">
        <v>248</v>
      </c>
      <c r="H283" s="59">
        <v>0.3</v>
      </c>
      <c r="I283" s="24">
        <v>37</v>
      </c>
      <c r="J283" s="24">
        <f>275-37</f>
        <v>238</v>
      </c>
      <c r="K283" s="24">
        <v>79</v>
      </c>
      <c r="L283" s="24">
        <f>874-79</f>
        <v>795</v>
      </c>
    </row>
    <row r="284" spans="2:13" x14ac:dyDescent="0.25">
      <c r="B284" s="59" t="s">
        <v>122</v>
      </c>
      <c r="C284" s="59">
        <v>2015</v>
      </c>
      <c r="D284" s="59" t="s">
        <v>55</v>
      </c>
      <c r="E284" s="59" t="s">
        <v>281</v>
      </c>
      <c r="F284" s="59" t="s">
        <v>18</v>
      </c>
      <c r="G284" s="59" t="s">
        <v>94</v>
      </c>
      <c r="H284" s="59">
        <v>0.46</v>
      </c>
      <c r="I284" s="24">
        <v>2</v>
      </c>
      <c r="J284" s="24">
        <v>18</v>
      </c>
      <c r="K284" s="24">
        <v>1</v>
      </c>
      <c r="L284" s="24">
        <v>161</v>
      </c>
    </row>
    <row r="285" spans="2:13" x14ac:dyDescent="0.25">
      <c r="B285" s="59" t="s">
        <v>428</v>
      </c>
      <c r="C285" s="59">
        <v>2013</v>
      </c>
      <c r="D285" s="59" t="s">
        <v>55</v>
      </c>
      <c r="E285" s="59" t="s">
        <v>281</v>
      </c>
      <c r="F285" s="59" t="s">
        <v>18</v>
      </c>
      <c r="G285" s="59" t="s">
        <v>248</v>
      </c>
      <c r="H285" s="59">
        <v>0.48</v>
      </c>
      <c r="I285" s="24">
        <v>17</v>
      </c>
      <c r="J285" s="24">
        <v>4</v>
      </c>
      <c r="K285" s="24">
        <v>5</v>
      </c>
      <c r="L285" s="24">
        <v>151</v>
      </c>
    </row>
    <row r="286" spans="2:13" x14ac:dyDescent="0.25">
      <c r="B286" s="59" t="s">
        <v>99</v>
      </c>
      <c r="C286" s="59">
        <v>1995</v>
      </c>
      <c r="D286" s="59" t="s">
        <v>55</v>
      </c>
      <c r="E286" s="59" t="s">
        <v>281</v>
      </c>
      <c r="F286" s="59" t="s">
        <v>262</v>
      </c>
      <c r="G286" s="59" t="s">
        <v>94</v>
      </c>
      <c r="H286" s="59">
        <v>0.31900000000000001</v>
      </c>
      <c r="I286" s="24">
        <v>5</v>
      </c>
      <c r="J286" s="24">
        <v>58</v>
      </c>
      <c r="K286" s="24">
        <v>24</v>
      </c>
      <c r="L286" s="24">
        <f>544-59</f>
        <v>485</v>
      </c>
    </row>
    <row r="287" spans="2:13" x14ac:dyDescent="0.25">
      <c r="B287" s="59" t="s">
        <v>260</v>
      </c>
      <c r="C287" s="59">
        <v>2006</v>
      </c>
      <c r="D287" s="59" t="s">
        <v>55</v>
      </c>
      <c r="E287" s="59" t="s">
        <v>281</v>
      </c>
      <c r="F287" s="59" t="s">
        <v>35</v>
      </c>
      <c r="H287" s="59">
        <v>0.3</v>
      </c>
      <c r="I287" s="24">
        <v>11</v>
      </c>
      <c r="J287" s="24">
        <v>48</v>
      </c>
      <c r="K287" s="24">
        <v>82</v>
      </c>
      <c r="L287" s="24">
        <f>885-SUM(I287:K287)</f>
        <v>744</v>
      </c>
      <c r="M287" s="59" t="s">
        <v>357</v>
      </c>
    </row>
    <row r="288" spans="2:13" x14ac:dyDescent="0.25">
      <c r="B288" s="59" t="s">
        <v>260</v>
      </c>
      <c r="C288" s="59">
        <v>2007</v>
      </c>
      <c r="D288" s="59" t="s">
        <v>55</v>
      </c>
      <c r="E288" s="59" t="s">
        <v>281</v>
      </c>
      <c r="F288" s="59" t="s">
        <v>35</v>
      </c>
      <c r="H288" s="59">
        <v>0.3</v>
      </c>
      <c r="I288" s="24">
        <v>18</v>
      </c>
      <c r="J288" s="24">
        <v>58</v>
      </c>
      <c r="K288" s="24">
        <v>87</v>
      </c>
      <c r="L288" s="24">
        <v>402</v>
      </c>
      <c r="M288" s="59" t="s">
        <v>357</v>
      </c>
    </row>
  </sheetData>
  <sortState ref="W78:AD81">
    <sortCondition ref="W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Normal characteristics</vt:lpstr>
      <vt:lpstr>Nuchal cord incidence</vt:lpstr>
      <vt:lpstr>US accuracy</vt:lpstr>
      <vt:lpstr>Nuchal cord outcomes</vt:lpstr>
      <vt:lpstr>Abnormal characteristics</vt:lpstr>
      <vt:lpstr>Frequency of adverse outcomes</vt:lpstr>
      <vt:lpstr>True knot outcomes</vt:lpstr>
      <vt:lpstr>Coiling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Dexter Hayes</dc:creator>
  <cp:lastModifiedBy>Dexter Hayes</cp:lastModifiedBy>
  <cp:lastPrinted>2019-02-08T16:29:13Z</cp:lastPrinted>
  <dcterms:created xsi:type="dcterms:W3CDTF">2018-05-18T09:36:26Z</dcterms:created>
  <dcterms:modified xsi:type="dcterms:W3CDTF">2020-08-05T11:45:41Z</dcterms:modified>
</cp:coreProperties>
</file>