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Sicherung 180222_LMU\Anna\Publikationen\Eigene Publikationen\Syst Rev\Aktualisierung 2017\Review 1\"/>
    </mc:Choice>
  </mc:AlternateContent>
  <xr:revisionPtr revIDLastSave="0" documentId="8_{A8C7736F-4CEA-4C54-8B18-EAA83BEE20DD}" xr6:coauthVersionLast="31" xr6:coauthVersionMax="31" xr10:uidLastSave="{00000000-0000-0000-0000-000000000000}"/>
  <bookViews>
    <workbookView xWindow="120" yWindow="690" windowWidth="20370" windowHeight="11540" xr2:uid="{00000000-000D-0000-FFFF-FFFF00000000}"/>
  </bookViews>
  <sheets>
    <sheet name="Harvest plot tables" sheetId="7" r:id="rId1"/>
  </sheets>
  <calcPr calcId="179017"/>
</workbook>
</file>

<file path=xl/calcChain.xml><?xml version="1.0" encoding="utf-8"?>
<calcChain xmlns="http://schemas.openxmlformats.org/spreadsheetml/2006/main">
  <c r="AA53" i="7" l="1"/>
  <c r="Z53" i="7"/>
  <c r="Y53" i="7"/>
  <c r="AA51" i="7"/>
  <c r="Z51" i="7"/>
  <c r="Y51" i="7"/>
  <c r="X53" i="7"/>
  <c r="W53" i="7"/>
  <c r="V53" i="7"/>
  <c r="X52" i="7"/>
  <c r="W52" i="7"/>
  <c r="V52" i="7"/>
  <c r="X51" i="7"/>
  <c r="W51" i="7"/>
  <c r="V51" i="7"/>
  <c r="U53" i="7"/>
  <c r="T53" i="7"/>
  <c r="S53" i="7"/>
  <c r="U52" i="7"/>
  <c r="T52" i="7"/>
  <c r="S52" i="7"/>
  <c r="U51" i="7"/>
  <c r="T51" i="7"/>
  <c r="S51" i="7"/>
  <c r="R53" i="7"/>
  <c r="Q53" i="7"/>
  <c r="P53" i="7"/>
  <c r="R52" i="7"/>
  <c r="Q52" i="7"/>
  <c r="P52" i="7"/>
  <c r="R51" i="7"/>
  <c r="Q51" i="7"/>
  <c r="P51" i="7"/>
  <c r="AA46" i="7"/>
  <c r="Z46" i="7"/>
  <c r="Y46" i="7"/>
  <c r="AA45" i="7"/>
  <c r="Z45" i="7"/>
  <c r="Y45" i="7"/>
  <c r="AA44" i="7"/>
  <c r="Z44" i="7"/>
  <c r="Y44" i="7"/>
  <c r="X45" i="7"/>
  <c r="W45" i="7"/>
  <c r="V45" i="7"/>
  <c r="X44" i="7"/>
  <c r="W44" i="7"/>
  <c r="V44" i="7"/>
  <c r="U46" i="7"/>
  <c r="T46" i="7"/>
  <c r="S46" i="7"/>
  <c r="U45" i="7"/>
  <c r="T45" i="7"/>
  <c r="S45" i="7"/>
  <c r="U44" i="7"/>
  <c r="T44" i="7"/>
  <c r="S44" i="7"/>
  <c r="R46" i="7"/>
  <c r="Q46" i="7"/>
  <c r="P46" i="7"/>
  <c r="R45" i="7"/>
  <c r="Q45" i="7"/>
  <c r="P45" i="7"/>
  <c r="R44" i="7"/>
  <c r="Q44" i="7"/>
  <c r="P44" i="7"/>
  <c r="Z34" i="7"/>
  <c r="AA34" i="7"/>
  <c r="Y34" i="7"/>
  <c r="AA33" i="7"/>
  <c r="Z33" i="7"/>
  <c r="Y33" i="7"/>
  <c r="AA32" i="7"/>
  <c r="Z32" i="7"/>
  <c r="Y32" i="7"/>
  <c r="X34" i="7"/>
  <c r="W34" i="7"/>
  <c r="V34" i="7"/>
  <c r="X33" i="7"/>
  <c r="W33" i="7"/>
  <c r="V33" i="7"/>
  <c r="X32" i="7"/>
  <c r="W32" i="7"/>
  <c r="V32" i="7"/>
  <c r="U34" i="7"/>
  <c r="T34" i="7"/>
  <c r="S34" i="7"/>
  <c r="U33" i="7"/>
  <c r="T33" i="7"/>
  <c r="S33" i="7"/>
  <c r="U32" i="7"/>
  <c r="T32" i="7"/>
  <c r="S32" i="7"/>
  <c r="R34" i="7"/>
  <c r="Q34" i="7"/>
  <c r="P34" i="7"/>
  <c r="R33" i="7"/>
  <c r="Q33" i="7"/>
  <c r="P33" i="7"/>
  <c r="R32" i="7"/>
  <c r="Q32" i="7"/>
  <c r="P32" i="7"/>
  <c r="AA27" i="7"/>
  <c r="Z27" i="7"/>
  <c r="Y27" i="7"/>
  <c r="AA26" i="7"/>
  <c r="Z26" i="7"/>
  <c r="Y26" i="7"/>
  <c r="AA25" i="7"/>
  <c r="Z25" i="7"/>
  <c r="Y25" i="7"/>
  <c r="X27" i="7"/>
  <c r="W27" i="7"/>
  <c r="V27" i="7"/>
  <c r="X26" i="7"/>
  <c r="W26" i="7"/>
  <c r="V26" i="7"/>
  <c r="X25" i="7"/>
  <c r="W25" i="7"/>
  <c r="V25" i="7"/>
  <c r="U27" i="7"/>
  <c r="T27" i="7"/>
  <c r="S27" i="7"/>
  <c r="U26" i="7"/>
  <c r="T26" i="7"/>
  <c r="S26" i="7"/>
  <c r="U25" i="7"/>
  <c r="T25" i="7"/>
  <c r="S25" i="7"/>
  <c r="R27" i="7"/>
  <c r="Q27" i="7"/>
  <c r="P27" i="7"/>
  <c r="R26" i="7"/>
  <c r="Q26" i="7"/>
  <c r="P26" i="7"/>
  <c r="R25" i="7"/>
  <c r="Q25" i="7"/>
  <c r="P25" i="7"/>
  <c r="AA15" i="7"/>
  <c r="Z15" i="7"/>
  <c r="Y15" i="7"/>
  <c r="AA14" i="7"/>
  <c r="Z14" i="7"/>
  <c r="Y14" i="7"/>
  <c r="AA13" i="7"/>
  <c r="Z13" i="7"/>
  <c r="Y13" i="7"/>
  <c r="X15" i="7"/>
  <c r="W15" i="7"/>
  <c r="V15" i="7"/>
  <c r="X14" i="7"/>
  <c r="W14" i="7"/>
  <c r="V14" i="7"/>
  <c r="X13" i="7"/>
  <c r="W13" i="7"/>
  <c r="V13" i="7"/>
  <c r="U15" i="7"/>
  <c r="T15" i="7"/>
  <c r="S15" i="7"/>
  <c r="U14" i="7"/>
  <c r="T14" i="7"/>
  <c r="S14" i="7"/>
  <c r="U13" i="7"/>
  <c r="T13" i="7"/>
  <c r="S13" i="7"/>
  <c r="R15" i="7"/>
  <c r="Q15" i="7"/>
  <c r="P15" i="7"/>
  <c r="R14" i="7"/>
  <c r="Q14" i="7"/>
  <c r="P14" i="7"/>
  <c r="R13" i="7"/>
  <c r="Q13" i="7"/>
  <c r="P13" i="7"/>
  <c r="AA8" i="7"/>
  <c r="Z8" i="7"/>
  <c r="Y8" i="7"/>
  <c r="AA7" i="7"/>
  <c r="Z7" i="7"/>
  <c r="Y7" i="7"/>
  <c r="AA6" i="7"/>
  <c r="Z6" i="7"/>
  <c r="Y6" i="7"/>
  <c r="X8" i="7"/>
  <c r="W8" i="7"/>
  <c r="V8" i="7"/>
  <c r="X7" i="7"/>
  <c r="W7" i="7"/>
  <c r="V7" i="7"/>
  <c r="X6" i="7"/>
  <c r="W6" i="7"/>
  <c r="V6" i="7"/>
  <c r="U8" i="7"/>
  <c r="T8" i="7"/>
  <c r="S8" i="7"/>
  <c r="U7" i="7"/>
  <c r="T7" i="7"/>
  <c r="S7" i="7"/>
  <c r="U6" i="7"/>
  <c r="T6" i="7"/>
  <c r="S6" i="7"/>
  <c r="R8" i="7"/>
  <c r="Q8" i="7"/>
  <c r="P8" i="7"/>
  <c r="R7" i="7"/>
  <c r="Q7" i="7"/>
  <c r="P7" i="7"/>
  <c r="R6" i="7"/>
  <c r="Q6" i="7"/>
  <c r="P6" i="7"/>
</calcChain>
</file>

<file path=xl/sharedStrings.xml><?xml version="1.0" encoding="utf-8"?>
<sst xmlns="http://schemas.openxmlformats.org/spreadsheetml/2006/main" count="660" uniqueCount="93">
  <si>
    <t>Health complaints</t>
  </si>
  <si>
    <t>General</t>
  </si>
  <si>
    <t>weak</t>
  </si>
  <si>
    <t>strong</t>
  </si>
  <si>
    <t>medium</t>
  </si>
  <si>
    <t>Outcome</t>
  </si>
  <si>
    <t>Positive Well-being at work</t>
  </si>
  <si>
    <t>Cognitive-behavioral outcomes</t>
  </si>
  <si>
    <t>Unadjusted estimates</t>
  </si>
  <si>
    <t>Adjusted estimates</t>
  </si>
  <si>
    <t xml:space="preserve">Organizational </t>
  </si>
  <si>
    <t>Patient/ task</t>
  </si>
  <si>
    <t>Social</t>
  </si>
  <si>
    <t>Effect size</t>
  </si>
  <si>
    <t>Affective symptoms/ Neg. psych. functioning</t>
  </si>
  <si>
    <t>8 (3)</t>
  </si>
  <si>
    <t>1 (1)</t>
  </si>
  <si>
    <t>0 (0)</t>
  </si>
  <si>
    <t>17 (6)</t>
  </si>
  <si>
    <t>5 (3)</t>
  </si>
  <si>
    <t>15 (4)</t>
  </si>
  <si>
    <t>11 (2)</t>
  </si>
  <si>
    <t>2 (1)</t>
  </si>
  <si>
    <t>22 (10)</t>
  </si>
  <si>
    <t>4 (2)</t>
  </si>
  <si>
    <t>10 (3)</t>
  </si>
  <si>
    <t>6 (5)</t>
  </si>
  <si>
    <t>10 (4)</t>
  </si>
  <si>
    <t>13 (3)</t>
  </si>
  <si>
    <t>3 (1)</t>
  </si>
  <si>
    <t>7 (4)</t>
  </si>
  <si>
    <t>14 (4)</t>
  </si>
  <si>
    <t>23 (6)</t>
  </si>
  <si>
    <t>2 (2)</t>
  </si>
  <si>
    <t>4 (1)</t>
  </si>
  <si>
    <t>4 (4)</t>
  </si>
  <si>
    <t>10 (5)</t>
  </si>
  <si>
    <t>11 (3)</t>
  </si>
  <si>
    <t>12 (5)</t>
  </si>
  <si>
    <t>3 (3)</t>
  </si>
  <si>
    <t>9 (4)</t>
  </si>
  <si>
    <t>31 (7)</t>
  </si>
  <si>
    <t>14 (5)</t>
  </si>
  <si>
    <t>3 (2)</t>
  </si>
  <si>
    <t>15 (8)</t>
  </si>
  <si>
    <t>9 (7)</t>
  </si>
  <si>
    <t>6 (3)</t>
  </si>
  <si>
    <t>5 (1)</t>
  </si>
  <si>
    <t>17 (8)</t>
  </si>
  <si>
    <t>24 (9)</t>
  </si>
  <si>
    <t>13 (6)</t>
  </si>
  <si>
    <t>22 (7)</t>
  </si>
  <si>
    <t>11 (5)</t>
  </si>
  <si>
    <t>16 (7)</t>
  </si>
  <si>
    <t>21 (12)</t>
  </si>
  <si>
    <t>43 (14)</t>
  </si>
  <si>
    <t>6 (2)</t>
  </si>
  <si>
    <t>21 (10)</t>
  </si>
  <si>
    <t>17 (5)</t>
  </si>
  <si>
    <t>32 (11)</t>
  </si>
  <si>
    <t>33 (7)</t>
  </si>
  <si>
    <t>10 (8)</t>
  </si>
  <si>
    <t>49 (12)</t>
  </si>
  <si>
    <t>6 (4)</t>
  </si>
  <si>
    <t>35 (13)</t>
  </si>
  <si>
    <t>7 (3)</t>
  </si>
  <si>
    <t>9 (3)</t>
  </si>
  <si>
    <t>11 (4)</t>
  </si>
  <si>
    <t>7 (2)</t>
  </si>
  <si>
    <t>5 (2)</t>
  </si>
  <si>
    <t>20 (7)</t>
  </si>
  <si>
    <t>21 (4)</t>
  </si>
  <si>
    <t>8 (5)</t>
  </si>
  <si>
    <t>13 (5)</t>
  </si>
  <si>
    <t>8 (2)</t>
  </si>
  <si>
    <t>5 (4)</t>
  </si>
  <si>
    <t>20 (6)</t>
  </si>
  <si>
    <t>26 (5)</t>
  </si>
  <si>
    <t>14 (6)</t>
  </si>
  <si>
    <t>6 (1)</t>
  </si>
  <si>
    <t>12 (2)</t>
  </si>
  <si>
    <t>4 (3)</t>
  </si>
  <si>
    <t>18 (4)</t>
  </si>
  <si>
    <t>9 (2)</t>
  </si>
  <si>
    <t>8 (4)</t>
  </si>
  <si>
    <t>13 (4)</t>
  </si>
  <si>
    <t>Prozentuale Verteilung der starken, mittleren und schwachen Assoziationen pro well-being outcome (alle Studien)</t>
  </si>
  <si>
    <t>Prozentuale Verteilung der starken, mittleren und schwachen Assoziationen pro well-being outcome (nur Pflege)</t>
  </si>
  <si>
    <t>Prozentuale Verteilung der starken, mittleren und schwachen Assoziationen pro well-being outcome (nur Ärzte)</t>
  </si>
  <si>
    <t>All studies</t>
  </si>
  <si>
    <t>Nurses</t>
  </si>
  <si>
    <t>Physicians</t>
  </si>
  <si>
    <t>Mixed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</si>
</sst>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ill="1" applyBorder="1"/>
    <xf numFmtId="1" fontId="0" fillId="0" borderId="0" xfId="0" applyNumberFormat="1"/>
    <xf numFmtId="1" fontId="0" fillId="0" borderId="0" xfId="0" applyNumberFormat="1" applyFill="1"/>
    <xf numFmtId="1" fontId="0" fillId="0" borderId="1" xfId="0" applyNumberFormat="1" applyFill="1" applyBorder="1"/>
    <xf numFmtId="1" fontId="0" fillId="0" borderId="0" xfId="0" applyNumberFormat="1" applyFill="1" applyBorder="1"/>
    <xf numFmtId="1" fontId="0" fillId="0" borderId="1" xfId="0" applyNumberFormat="1" applyBorder="1"/>
    <xf numFmtId="2" fontId="0" fillId="0" borderId="0" xfId="0" applyNumberFormat="1" applyFill="1"/>
    <xf numFmtId="164" fontId="0" fillId="0" borderId="0" xfId="0" applyNumberFormat="1" applyFill="1"/>
    <xf numFmtId="164" fontId="0" fillId="0" borderId="1" xfId="0" applyNumberFormat="1" applyFill="1" applyBorder="1"/>
    <xf numFmtId="2" fontId="0" fillId="0" borderId="1" xfId="0" applyNumberFormat="1" applyFill="1" applyBorder="1"/>
    <xf numFmtId="2" fontId="0" fillId="0" borderId="0" xfId="0" applyNumberFormat="1" applyFill="1" applyBorder="1"/>
    <xf numFmtId="164" fontId="0" fillId="8" borderId="0" xfId="0" applyNumberFormat="1" applyFill="1"/>
    <xf numFmtId="164" fontId="0" fillId="8" borderId="0" xfId="0" applyNumberFormat="1" applyFill="1" applyBorder="1"/>
    <xf numFmtId="164" fontId="0" fillId="0" borderId="0" xfId="0" applyNumberFormat="1" applyFill="1" applyBorder="1"/>
    <xf numFmtId="164" fontId="2" fillId="8" borderId="0" xfId="0" applyNumberFormat="1" applyFont="1" applyFill="1" applyBorder="1"/>
    <xf numFmtId="164" fontId="2" fillId="0" borderId="0" xfId="0" applyNumberFormat="1" applyFont="1" applyFill="1"/>
    <xf numFmtId="164" fontId="2" fillId="8" borderId="0" xfId="0" applyNumberFormat="1" applyFont="1" applyFill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/>
    <xf numFmtId="164" fontId="0" fillId="2" borderId="0" xfId="0" applyNumberFormat="1" applyFill="1"/>
    <xf numFmtId="164" fontId="0" fillId="2" borderId="0" xfId="0" applyNumberFormat="1" applyFill="1" applyBorder="1"/>
    <xf numFmtId="0" fontId="4" fillId="0" borderId="0" xfId="0" applyFont="1" applyFill="1"/>
    <xf numFmtId="0" fontId="5" fillId="0" borderId="0" xfId="0" applyFont="1" applyFill="1"/>
    <xf numFmtId="1" fontId="1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3"/>
  <sheetViews>
    <sheetView tabSelected="1" workbookViewId="0"/>
  </sheetViews>
  <sheetFormatPr baseColWidth="10" defaultRowHeight="14.5" x14ac:dyDescent="0.35"/>
  <cols>
    <col min="1" max="1" width="20.453125" bestFit="1" customWidth="1"/>
    <col min="4" max="4" width="11.453125" style="2" customWidth="1"/>
    <col min="5" max="6" width="14.7265625" customWidth="1"/>
    <col min="7" max="7" width="14.7265625" style="2" customWidth="1"/>
    <col min="10" max="10" width="11.453125" style="2"/>
    <col min="13" max="13" width="11.453125" style="2"/>
  </cols>
  <sheetData>
    <row r="1" spans="1:27" ht="18.5" x14ac:dyDescent="0.45">
      <c r="A1" s="36" t="s">
        <v>89</v>
      </c>
      <c r="B1" s="6"/>
      <c r="C1" s="6"/>
      <c r="D1" s="5"/>
      <c r="E1" s="6"/>
      <c r="O1" s="1" t="s">
        <v>86</v>
      </c>
    </row>
    <row r="2" spans="1:27" x14ac:dyDescent="0.35">
      <c r="A2" s="6"/>
      <c r="B2" s="6"/>
      <c r="C2" s="6"/>
      <c r="D2" s="5"/>
      <c r="E2" s="6"/>
    </row>
    <row r="3" spans="1:27" x14ac:dyDescent="0.35">
      <c r="A3" t="s">
        <v>13</v>
      </c>
      <c r="B3" s="11" t="s">
        <v>3</v>
      </c>
      <c r="C3" s="11" t="s">
        <v>4</v>
      </c>
      <c r="D3" s="12" t="s">
        <v>2</v>
      </c>
      <c r="E3" s="11" t="s">
        <v>3</v>
      </c>
      <c r="F3" s="11" t="s">
        <v>4</v>
      </c>
      <c r="G3" s="12" t="s">
        <v>2</v>
      </c>
      <c r="H3" s="11" t="s">
        <v>3</v>
      </c>
      <c r="I3" s="11" t="s">
        <v>4</v>
      </c>
      <c r="J3" s="12" t="s">
        <v>2</v>
      </c>
      <c r="K3" s="11" t="s">
        <v>3</v>
      </c>
      <c r="L3" s="11" t="s">
        <v>4</v>
      </c>
      <c r="M3" s="12" t="s">
        <v>2</v>
      </c>
      <c r="O3" t="s">
        <v>13</v>
      </c>
      <c r="P3" s="11" t="s">
        <v>3</v>
      </c>
      <c r="Q3" s="11" t="s">
        <v>4</v>
      </c>
      <c r="R3" s="12" t="s">
        <v>2</v>
      </c>
      <c r="S3" s="11" t="s">
        <v>3</v>
      </c>
      <c r="T3" s="11" t="s">
        <v>4</v>
      </c>
      <c r="U3" s="12" t="s">
        <v>2</v>
      </c>
      <c r="V3" s="11" t="s">
        <v>3</v>
      </c>
      <c r="W3" s="11" t="s">
        <v>4</v>
      </c>
      <c r="X3" s="12" t="s">
        <v>2</v>
      </c>
      <c r="Y3" s="11" t="s">
        <v>3</v>
      </c>
      <c r="Z3" s="11" t="s">
        <v>4</v>
      </c>
      <c r="AA3" s="12" t="s">
        <v>2</v>
      </c>
    </row>
    <row r="4" spans="1:27" x14ac:dyDescent="0.35">
      <c r="A4" s="2"/>
      <c r="B4" s="42" t="s">
        <v>8</v>
      </c>
      <c r="C4" s="42"/>
      <c r="D4" s="42"/>
      <c r="E4" s="42" t="s">
        <v>8</v>
      </c>
      <c r="F4" s="42"/>
      <c r="G4" s="42"/>
      <c r="H4" s="42" t="s">
        <v>8</v>
      </c>
      <c r="I4" s="42"/>
      <c r="J4" s="42"/>
      <c r="K4" s="42" t="s">
        <v>8</v>
      </c>
      <c r="L4" s="42"/>
      <c r="M4" s="42"/>
      <c r="P4" s="39" t="s">
        <v>8</v>
      </c>
      <c r="Q4" s="39"/>
      <c r="R4" s="39"/>
      <c r="S4" s="39" t="s">
        <v>8</v>
      </c>
      <c r="T4" s="39"/>
      <c r="U4" s="39"/>
      <c r="V4" s="39" t="s">
        <v>8</v>
      </c>
      <c r="W4" s="39"/>
      <c r="X4" s="39"/>
      <c r="Y4" s="39" t="s">
        <v>8</v>
      </c>
      <c r="Z4" s="39"/>
      <c r="AA4" s="39"/>
    </row>
    <row r="5" spans="1:27" x14ac:dyDescent="0.35">
      <c r="A5" s="3" t="s">
        <v>5</v>
      </c>
      <c r="B5" s="40" t="s">
        <v>6</v>
      </c>
      <c r="C5" s="40"/>
      <c r="D5" s="40"/>
      <c r="E5" s="40" t="s">
        <v>14</v>
      </c>
      <c r="F5" s="40"/>
      <c r="G5" s="40"/>
      <c r="H5" s="40" t="s">
        <v>7</v>
      </c>
      <c r="I5" s="40"/>
      <c r="J5" s="40"/>
      <c r="K5" s="40" t="s">
        <v>0</v>
      </c>
      <c r="L5" s="40"/>
      <c r="M5" s="40"/>
      <c r="O5" s="1" t="s">
        <v>5</v>
      </c>
      <c r="P5" s="40" t="s">
        <v>6</v>
      </c>
      <c r="Q5" s="40"/>
      <c r="R5" s="40"/>
      <c r="S5" s="40" t="s">
        <v>14</v>
      </c>
      <c r="T5" s="40"/>
      <c r="U5" s="40"/>
      <c r="V5" s="40" t="s">
        <v>7</v>
      </c>
      <c r="W5" s="40"/>
      <c r="X5" s="40"/>
      <c r="Y5" s="40" t="s">
        <v>0</v>
      </c>
      <c r="Z5" s="40"/>
      <c r="AA5" s="40"/>
    </row>
    <row r="6" spans="1:27" x14ac:dyDescent="0.35">
      <c r="A6" s="5" t="s">
        <v>11</v>
      </c>
      <c r="B6" s="6" t="s">
        <v>33</v>
      </c>
      <c r="C6" s="6" t="s">
        <v>48</v>
      </c>
      <c r="D6" s="5" t="s">
        <v>49</v>
      </c>
      <c r="E6" s="4" t="s">
        <v>53</v>
      </c>
      <c r="F6" s="4" t="s">
        <v>54</v>
      </c>
      <c r="G6" s="5" t="s">
        <v>55</v>
      </c>
      <c r="H6" s="4" t="s">
        <v>17</v>
      </c>
      <c r="I6" s="4" t="s">
        <v>24</v>
      </c>
      <c r="J6" s="5" t="s">
        <v>40</v>
      </c>
      <c r="K6" s="4" t="s">
        <v>17</v>
      </c>
      <c r="L6" s="4" t="s">
        <v>16</v>
      </c>
      <c r="M6" s="5" t="s">
        <v>42</v>
      </c>
      <c r="O6" s="9" t="s">
        <v>11</v>
      </c>
      <c r="P6" s="19">
        <f>2/43</f>
        <v>4.6511627906976744E-2</v>
      </c>
      <c r="Q6" s="19">
        <f>17/43</f>
        <v>0.39534883720930231</v>
      </c>
      <c r="R6" s="22">
        <f>24/43</f>
        <v>0.55813953488372092</v>
      </c>
      <c r="S6" s="25">
        <f>16/80</f>
        <v>0.2</v>
      </c>
      <c r="T6" s="23">
        <f>21/80</f>
        <v>0.26250000000000001</v>
      </c>
      <c r="U6" s="22">
        <f>43/80</f>
        <v>0.53749999999999998</v>
      </c>
      <c r="V6" s="23">
        <f>0/13</f>
        <v>0</v>
      </c>
      <c r="W6" s="23">
        <f>4/13</f>
        <v>0.30769230769230771</v>
      </c>
      <c r="X6" s="22">
        <f>9/13</f>
        <v>0.69230769230769229</v>
      </c>
      <c r="Y6" s="23">
        <f>0/15</f>
        <v>0</v>
      </c>
      <c r="Z6" s="23">
        <f>1/15</f>
        <v>6.6666666666666666E-2</v>
      </c>
      <c r="AA6" s="22">
        <f>14/15</f>
        <v>0.93333333333333335</v>
      </c>
    </row>
    <row r="7" spans="1:27" x14ac:dyDescent="0.35">
      <c r="A7" s="5" t="s">
        <v>10</v>
      </c>
      <c r="B7" s="6" t="s">
        <v>34</v>
      </c>
      <c r="C7" s="6" t="s">
        <v>50</v>
      </c>
      <c r="D7" s="5" t="s">
        <v>51</v>
      </c>
      <c r="E7" s="4" t="s">
        <v>24</v>
      </c>
      <c r="F7" s="4" t="s">
        <v>20</v>
      </c>
      <c r="G7" s="5" t="s">
        <v>41</v>
      </c>
      <c r="H7" s="4" t="s">
        <v>22</v>
      </c>
      <c r="I7" s="4" t="s">
        <v>21</v>
      </c>
      <c r="J7" s="5" t="s">
        <v>58</v>
      </c>
      <c r="K7" s="4" t="s">
        <v>17</v>
      </c>
      <c r="L7" s="4" t="s">
        <v>22</v>
      </c>
      <c r="M7" s="5" t="s">
        <v>43</v>
      </c>
      <c r="O7" s="10" t="s">
        <v>10</v>
      </c>
      <c r="P7" s="20">
        <f>4/39</f>
        <v>0.10256410256410256</v>
      </c>
      <c r="Q7" s="20">
        <f>13/39</f>
        <v>0.33333333333333331</v>
      </c>
      <c r="R7" s="22">
        <f>22/39</f>
        <v>0.5641025641025641</v>
      </c>
      <c r="S7" s="23">
        <f>4/50</f>
        <v>0.08</v>
      </c>
      <c r="T7" s="23">
        <f>15/50</f>
        <v>0.3</v>
      </c>
      <c r="U7" s="22">
        <f>31/50</f>
        <v>0.62</v>
      </c>
      <c r="V7" s="25">
        <f>2/30</f>
        <v>6.6666666666666666E-2</v>
      </c>
      <c r="W7" s="25">
        <f>11/30</f>
        <v>0.36666666666666664</v>
      </c>
      <c r="X7" s="22">
        <f>17/30</f>
        <v>0.56666666666666665</v>
      </c>
      <c r="Y7" s="23">
        <f>0/5</f>
        <v>0</v>
      </c>
      <c r="Z7" s="25">
        <f>2/5</f>
        <v>0.4</v>
      </c>
      <c r="AA7" s="22">
        <f>3/5</f>
        <v>0.6</v>
      </c>
    </row>
    <row r="8" spans="1:27" x14ac:dyDescent="0.35">
      <c r="A8" s="5" t="s">
        <v>12</v>
      </c>
      <c r="B8" s="6" t="s">
        <v>39</v>
      </c>
      <c r="C8" s="6" t="s">
        <v>36</v>
      </c>
      <c r="D8" s="5" t="s">
        <v>52</v>
      </c>
      <c r="E8" s="4" t="s">
        <v>56</v>
      </c>
      <c r="F8" s="4" t="s">
        <v>57</v>
      </c>
      <c r="G8" s="5" t="s">
        <v>53</v>
      </c>
      <c r="H8" s="4" t="s">
        <v>17</v>
      </c>
      <c r="I8" s="4" t="s">
        <v>17</v>
      </c>
      <c r="J8" s="5" t="s">
        <v>24</v>
      </c>
      <c r="K8" s="4" t="s">
        <v>17</v>
      </c>
      <c r="L8" s="4" t="s">
        <v>22</v>
      </c>
      <c r="M8" s="5" t="s">
        <v>25</v>
      </c>
      <c r="O8" s="7" t="s">
        <v>12</v>
      </c>
      <c r="P8" s="24">
        <f>3/24</f>
        <v>0.125</v>
      </c>
      <c r="Q8" s="24">
        <f>10/24</f>
        <v>0.41666666666666669</v>
      </c>
      <c r="R8" s="22">
        <f>11/24</f>
        <v>0.45833333333333331</v>
      </c>
      <c r="S8" s="23">
        <f>6/43</f>
        <v>0.13953488372093023</v>
      </c>
      <c r="T8" s="25">
        <f>21/43</f>
        <v>0.48837209302325579</v>
      </c>
      <c r="U8" s="22">
        <f>16/43</f>
        <v>0.37209302325581395</v>
      </c>
      <c r="V8" s="23">
        <f>0/4</f>
        <v>0</v>
      </c>
      <c r="W8" s="23">
        <f>0/4</f>
        <v>0</v>
      </c>
      <c r="X8" s="22">
        <f>4/4</f>
        <v>1</v>
      </c>
      <c r="Y8" s="23">
        <f>0/12</f>
        <v>0</v>
      </c>
      <c r="Z8" s="23">
        <f>2/12</f>
        <v>0.16666666666666666</v>
      </c>
      <c r="AA8" s="22">
        <f>10/12</f>
        <v>0.83333333333333337</v>
      </c>
    </row>
    <row r="9" spans="1:27" x14ac:dyDescent="0.35">
      <c r="A9" s="5" t="s">
        <v>1</v>
      </c>
      <c r="B9" s="6" t="s">
        <v>17</v>
      </c>
      <c r="C9" s="6" t="s">
        <v>16</v>
      </c>
      <c r="D9" s="5" t="s">
        <v>33</v>
      </c>
      <c r="E9" s="6" t="s">
        <v>17</v>
      </c>
      <c r="F9" s="4" t="s">
        <v>19</v>
      </c>
      <c r="G9" s="5" t="s">
        <v>17</v>
      </c>
      <c r="H9" s="4" t="s">
        <v>17</v>
      </c>
      <c r="I9" s="4" t="s">
        <v>17</v>
      </c>
      <c r="J9" s="5" t="s">
        <v>16</v>
      </c>
      <c r="K9" s="4" t="s">
        <v>17</v>
      </c>
      <c r="L9" s="4" t="s">
        <v>17</v>
      </c>
      <c r="M9" s="5" t="s">
        <v>17</v>
      </c>
      <c r="O9" s="8" t="s">
        <v>1</v>
      </c>
      <c r="P9" s="19"/>
      <c r="Q9" s="19"/>
      <c r="R9" s="22"/>
      <c r="S9" s="15"/>
      <c r="T9" s="17"/>
      <c r="U9" s="16"/>
      <c r="V9" s="17"/>
      <c r="W9" s="17"/>
      <c r="X9" s="16"/>
      <c r="Y9" s="17"/>
      <c r="Z9" s="17"/>
      <c r="AA9" s="16"/>
    </row>
    <row r="10" spans="1:27" x14ac:dyDescent="0.35">
      <c r="A10" s="6"/>
      <c r="O10" s="6"/>
      <c r="P10" s="14"/>
      <c r="Q10" s="14"/>
      <c r="R10" s="18"/>
      <c r="S10" s="14"/>
      <c r="T10" s="14"/>
      <c r="U10" s="18"/>
      <c r="V10" s="14"/>
      <c r="W10" s="14"/>
      <c r="X10" s="18"/>
      <c r="Y10" s="14"/>
      <c r="Z10" s="14"/>
      <c r="AA10" s="18"/>
    </row>
    <row r="11" spans="1:27" x14ac:dyDescent="0.35">
      <c r="A11" s="2"/>
      <c r="B11" s="42" t="s">
        <v>9</v>
      </c>
      <c r="C11" s="42"/>
      <c r="D11" s="42"/>
      <c r="E11" s="42" t="s">
        <v>9</v>
      </c>
      <c r="F11" s="42"/>
      <c r="G11" s="42"/>
      <c r="H11" s="42" t="s">
        <v>9</v>
      </c>
      <c r="I11" s="42"/>
      <c r="J11" s="42"/>
      <c r="K11" s="42" t="s">
        <v>9</v>
      </c>
      <c r="L11" s="42"/>
      <c r="M11" s="42"/>
      <c r="P11" s="41" t="s">
        <v>9</v>
      </c>
      <c r="Q11" s="41"/>
      <c r="R11" s="41"/>
      <c r="S11" s="41" t="s">
        <v>9</v>
      </c>
      <c r="T11" s="41"/>
      <c r="U11" s="41"/>
      <c r="V11" s="41" t="s">
        <v>9</v>
      </c>
      <c r="W11" s="41"/>
      <c r="X11" s="41"/>
      <c r="Y11" s="41" t="s">
        <v>9</v>
      </c>
      <c r="Z11" s="41"/>
      <c r="AA11" s="41"/>
    </row>
    <row r="12" spans="1:27" x14ac:dyDescent="0.35">
      <c r="A12" s="3" t="s">
        <v>5</v>
      </c>
      <c r="B12" s="40" t="s">
        <v>6</v>
      </c>
      <c r="C12" s="40"/>
      <c r="D12" s="40"/>
      <c r="E12" s="40" t="s">
        <v>14</v>
      </c>
      <c r="F12" s="40"/>
      <c r="G12" s="40"/>
      <c r="H12" s="40" t="s">
        <v>7</v>
      </c>
      <c r="I12" s="40"/>
      <c r="J12" s="40"/>
      <c r="K12" s="40" t="s">
        <v>0</v>
      </c>
      <c r="L12" s="40"/>
      <c r="M12" s="40"/>
      <c r="O12" s="1" t="s">
        <v>5</v>
      </c>
      <c r="P12" s="38" t="s">
        <v>6</v>
      </c>
      <c r="Q12" s="38"/>
      <c r="R12" s="38"/>
      <c r="S12" s="38" t="s">
        <v>14</v>
      </c>
      <c r="T12" s="38"/>
      <c r="U12" s="38"/>
      <c r="V12" s="38" t="s">
        <v>7</v>
      </c>
      <c r="W12" s="38"/>
      <c r="X12" s="38"/>
      <c r="Y12" s="38" t="s">
        <v>0</v>
      </c>
      <c r="Z12" s="38"/>
      <c r="AA12" s="38"/>
    </row>
    <row r="13" spans="1:27" x14ac:dyDescent="0.35">
      <c r="A13" s="5" t="s">
        <v>11</v>
      </c>
      <c r="B13" s="6" t="s">
        <v>26</v>
      </c>
      <c r="C13" s="6" t="s">
        <v>45</v>
      </c>
      <c r="D13" s="5" t="s">
        <v>59</v>
      </c>
      <c r="E13" s="4" t="s">
        <v>44</v>
      </c>
      <c r="F13" s="4" t="s">
        <v>61</v>
      </c>
      <c r="G13" s="5" t="s">
        <v>62</v>
      </c>
      <c r="H13" s="4" t="s">
        <v>16</v>
      </c>
      <c r="I13" s="4" t="s">
        <v>16</v>
      </c>
      <c r="J13" s="5" t="s">
        <v>27</v>
      </c>
      <c r="K13" s="4" t="s">
        <v>16</v>
      </c>
      <c r="L13" s="4" t="s">
        <v>29</v>
      </c>
      <c r="M13" s="5" t="s">
        <v>28</v>
      </c>
      <c r="O13" s="9" t="s">
        <v>11</v>
      </c>
      <c r="P13" s="20">
        <f>6/47</f>
        <v>0.1276595744680851</v>
      </c>
      <c r="Q13" s="24">
        <f>9/47</f>
        <v>0.19148936170212766</v>
      </c>
      <c r="R13" s="22">
        <f>32/47</f>
        <v>0.68085106382978722</v>
      </c>
      <c r="S13" s="23">
        <f>15/74</f>
        <v>0.20270270270270271</v>
      </c>
      <c r="T13" s="25">
        <f>10/74</f>
        <v>0.13513513513513514</v>
      </c>
      <c r="U13" s="22">
        <f>49/74</f>
        <v>0.66216216216216217</v>
      </c>
      <c r="V13" s="23">
        <f>1/12</f>
        <v>8.3333333333333329E-2</v>
      </c>
      <c r="W13" s="23">
        <f>1/12</f>
        <v>8.3333333333333329E-2</v>
      </c>
      <c r="X13" s="22">
        <f>10/12</f>
        <v>0.83333333333333337</v>
      </c>
      <c r="Y13" s="25">
        <f>1/17</f>
        <v>5.8823529411764705E-2</v>
      </c>
      <c r="Z13" s="23">
        <f>3/17</f>
        <v>0.17647058823529413</v>
      </c>
      <c r="AA13" s="22">
        <f>13/17</f>
        <v>0.76470588235294112</v>
      </c>
    </row>
    <row r="14" spans="1:27" x14ac:dyDescent="0.35">
      <c r="A14" s="5" t="s">
        <v>10</v>
      </c>
      <c r="B14" s="6" t="s">
        <v>30</v>
      </c>
      <c r="C14" s="6" t="s">
        <v>40</v>
      </c>
      <c r="D14" s="5" t="s">
        <v>60</v>
      </c>
      <c r="E14" s="4" t="s">
        <v>31</v>
      </c>
      <c r="F14" s="4" t="s">
        <v>35</v>
      </c>
      <c r="G14" s="5" t="s">
        <v>18</v>
      </c>
      <c r="H14" s="4" t="s">
        <v>33</v>
      </c>
      <c r="I14" s="4" t="s">
        <v>16</v>
      </c>
      <c r="J14" s="5" t="s">
        <v>32</v>
      </c>
      <c r="K14" s="6" t="s">
        <v>17</v>
      </c>
      <c r="L14" s="6" t="s">
        <v>17</v>
      </c>
      <c r="M14" s="5" t="s">
        <v>34</v>
      </c>
      <c r="O14" s="10" t="s">
        <v>10</v>
      </c>
      <c r="P14" s="24">
        <f>7/49</f>
        <v>0.14285714285714285</v>
      </c>
      <c r="Q14" s="20">
        <f>9/49</f>
        <v>0.18367346938775511</v>
      </c>
      <c r="R14" s="22">
        <f>33/49</f>
        <v>0.67346938775510201</v>
      </c>
      <c r="S14" s="25">
        <f>14/35</f>
        <v>0.4</v>
      </c>
      <c r="T14" s="23">
        <f>4/35</f>
        <v>0.11428571428571428</v>
      </c>
      <c r="U14" s="22">
        <f>17/35</f>
        <v>0.48571428571428571</v>
      </c>
      <c r="V14" s="23">
        <f>2/26</f>
        <v>7.6923076923076927E-2</v>
      </c>
      <c r="W14" s="23">
        <f>1/26</f>
        <v>3.8461538461538464E-2</v>
      </c>
      <c r="X14" s="22">
        <f>23/26</f>
        <v>0.88461538461538458</v>
      </c>
      <c r="Y14" s="19">
        <f>0/4</f>
        <v>0</v>
      </c>
      <c r="Z14" s="19">
        <f>0/4</f>
        <v>0</v>
      </c>
      <c r="AA14" s="22">
        <f>4/4</f>
        <v>1</v>
      </c>
    </row>
    <row r="15" spans="1:27" x14ac:dyDescent="0.35">
      <c r="A15" s="5" t="s">
        <v>12</v>
      </c>
      <c r="B15" s="6" t="s">
        <v>33</v>
      </c>
      <c r="C15" s="6" t="s">
        <v>35</v>
      </c>
      <c r="D15" s="5" t="s">
        <v>23</v>
      </c>
      <c r="E15" s="4" t="s">
        <v>30</v>
      </c>
      <c r="F15" s="4" t="s">
        <v>63</v>
      </c>
      <c r="G15" s="5" t="s">
        <v>64</v>
      </c>
      <c r="H15" s="4" t="s">
        <v>16</v>
      </c>
      <c r="I15" s="4" t="s">
        <v>16</v>
      </c>
      <c r="J15" s="5" t="s">
        <v>19</v>
      </c>
      <c r="K15" s="6" t="s">
        <v>17</v>
      </c>
      <c r="L15" s="4" t="s">
        <v>24</v>
      </c>
      <c r="M15" s="5" t="s">
        <v>37</v>
      </c>
      <c r="O15" s="7" t="s">
        <v>12</v>
      </c>
      <c r="P15" s="19">
        <f>2/28</f>
        <v>7.1428571428571425E-2</v>
      </c>
      <c r="Q15" s="19">
        <f>4/28</f>
        <v>0.14285714285714285</v>
      </c>
      <c r="R15" s="22">
        <f>22/28</f>
        <v>0.7857142857142857</v>
      </c>
      <c r="S15" s="23">
        <f>7/48</f>
        <v>0.14583333333333334</v>
      </c>
      <c r="T15" s="26">
        <f>6/48</f>
        <v>0.125</v>
      </c>
      <c r="U15" s="22">
        <f>35/48</f>
        <v>0.72916666666666663</v>
      </c>
      <c r="V15" s="25">
        <f>1/7</f>
        <v>0.14285714285714285</v>
      </c>
      <c r="W15" s="25">
        <f>1/7</f>
        <v>0.14285714285714285</v>
      </c>
      <c r="X15" s="22">
        <f>5/7</f>
        <v>0.7142857142857143</v>
      </c>
      <c r="Y15" s="19">
        <f>0/15</f>
        <v>0</v>
      </c>
      <c r="Z15" s="25">
        <f>4/15</f>
        <v>0.26666666666666666</v>
      </c>
      <c r="AA15" s="22">
        <f>11/15</f>
        <v>0.73333333333333328</v>
      </c>
    </row>
    <row r="16" spans="1:27" x14ac:dyDescent="0.35">
      <c r="A16" s="5" t="s">
        <v>1</v>
      </c>
      <c r="B16" s="6" t="s">
        <v>17</v>
      </c>
      <c r="C16" s="6" t="s">
        <v>17</v>
      </c>
      <c r="D16" s="5" t="s">
        <v>17</v>
      </c>
      <c r="E16" s="6" t="s">
        <v>17</v>
      </c>
      <c r="F16" s="6" t="s">
        <v>17</v>
      </c>
      <c r="G16" s="5" t="s">
        <v>16</v>
      </c>
      <c r="H16" s="6" t="s">
        <v>17</v>
      </c>
      <c r="I16" s="6" t="s">
        <v>17</v>
      </c>
      <c r="J16" s="5" t="s">
        <v>16</v>
      </c>
      <c r="K16" s="4" t="s">
        <v>16</v>
      </c>
      <c r="L16" s="4" t="s">
        <v>47</v>
      </c>
      <c r="M16" s="5" t="s">
        <v>17</v>
      </c>
      <c r="O16" s="8" t="s">
        <v>1</v>
      </c>
      <c r="P16" s="15"/>
      <c r="Q16" s="15"/>
      <c r="R16" s="16"/>
      <c r="S16" s="15"/>
      <c r="T16" s="15"/>
      <c r="U16" s="16"/>
      <c r="V16" s="15"/>
      <c r="W16" s="15"/>
      <c r="X16" s="16"/>
      <c r="Y16" s="17"/>
      <c r="Z16" s="17"/>
      <c r="AA16" s="16"/>
    </row>
    <row r="17" spans="1:27" x14ac:dyDescent="0.35">
      <c r="E17" s="6"/>
      <c r="F17" s="6"/>
      <c r="G17" s="5"/>
    </row>
    <row r="19" spans="1:27" ht="18.5" x14ac:dyDescent="0.45">
      <c r="A19" s="37" t="s">
        <v>90</v>
      </c>
    </row>
    <row r="20" spans="1:27" x14ac:dyDescent="0.35">
      <c r="O20" s="1" t="s">
        <v>87</v>
      </c>
    </row>
    <row r="22" spans="1:27" x14ac:dyDescent="0.35">
      <c r="A22" t="s">
        <v>13</v>
      </c>
      <c r="B22" s="11" t="s">
        <v>3</v>
      </c>
      <c r="C22" s="11" t="s">
        <v>4</v>
      </c>
      <c r="D22" s="12" t="s">
        <v>2</v>
      </c>
      <c r="E22" s="11" t="s">
        <v>3</v>
      </c>
      <c r="F22" s="11" t="s">
        <v>4</v>
      </c>
      <c r="G22" s="12" t="s">
        <v>2</v>
      </c>
      <c r="H22" s="11" t="s">
        <v>3</v>
      </c>
      <c r="I22" s="11" t="s">
        <v>4</v>
      </c>
      <c r="J22" s="12" t="s">
        <v>2</v>
      </c>
      <c r="K22" s="11" t="s">
        <v>3</v>
      </c>
      <c r="L22" s="11" t="s">
        <v>4</v>
      </c>
      <c r="M22" s="12" t="s">
        <v>2</v>
      </c>
      <c r="O22" t="s">
        <v>13</v>
      </c>
      <c r="P22" s="11" t="s">
        <v>3</v>
      </c>
      <c r="Q22" s="11" t="s">
        <v>4</v>
      </c>
      <c r="R22" s="12" t="s">
        <v>2</v>
      </c>
      <c r="S22" s="11" t="s">
        <v>3</v>
      </c>
      <c r="T22" s="11" t="s">
        <v>4</v>
      </c>
      <c r="U22" s="12" t="s">
        <v>2</v>
      </c>
      <c r="V22" s="11" t="s">
        <v>3</v>
      </c>
      <c r="W22" s="11" t="s">
        <v>4</v>
      </c>
      <c r="X22" s="12" t="s">
        <v>2</v>
      </c>
      <c r="Y22" s="11" t="s">
        <v>3</v>
      </c>
      <c r="Z22" s="11" t="s">
        <v>4</v>
      </c>
      <c r="AA22" s="12" t="s">
        <v>2</v>
      </c>
    </row>
    <row r="23" spans="1:27" x14ac:dyDescent="0.35">
      <c r="A23" s="2"/>
      <c r="B23" s="43" t="s">
        <v>8</v>
      </c>
      <c r="C23" s="43"/>
      <c r="D23" s="43"/>
      <c r="E23" s="43" t="s">
        <v>8</v>
      </c>
      <c r="F23" s="43"/>
      <c r="G23" s="43"/>
      <c r="H23" s="43" t="s">
        <v>8</v>
      </c>
      <c r="I23" s="43"/>
      <c r="J23" s="43"/>
      <c r="K23" s="43" t="s">
        <v>8</v>
      </c>
      <c r="L23" s="43"/>
      <c r="M23" s="43"/>
      <c r="P23" s="39" t="s">
        <v>8</v>
      </c>
      <c r="Q23" s="39"/>
      <c r="R23" s="39"/>
      <c r="S23" s="39" t="s">
        <v>8</v>
      </c>
      <c r="T23" s="39"/>
      <c r="U23" s="39"/>
      <c r="V23" s="39" t="s">
        <v>8</v>
      </c>
      <c r="W23" s="39"/>
      <c r="X23" s="39"/>
      <c r="Y23" s="39" t="s">
        <v>8</v>
      </c>
      <c r="Z23" s="39"/>
      <c r="AA23" s="39"/>
    </row>
    <row r="24" spans="1:27" x14ac:dyDescent="0.35">
      <c r="A24" s="3" t="s">
        <v>5</v>
      </c>
      <c r="B24" s="40" t="s">
        <v>6</v>
      </c>
      <c r="C24" s="40"/>
      <c r="D24" s="40"/>
      <c r="E24" s="40" t="s">
        <v>14</v>
      </c>
      <c r="F24" s="40"/>
      <c r="G24" s="40"/>
      <c r="H24" s="40" t="s">
        <v>7</v>
      </c>
      <c r="I24" s="40"/>
      <c r="J24" s="40"/>
      <c r="K24" s="40" t="s">
        <v>0</v>
      </c>
      <c r="L24" s="40"/>
      <c r="M24" s="40"/>
      <c r="O24" s="1" t="s">
        <v>5</v>
      </c>
      <c r="P24" s="40" t="s">
        <v>6</v>
      </c>
      <c r="Q24" s="40"/>
      <c r="R24" s="40"/>
      <c r="S24" s="40" t="s">
        <v>14</v>
      </c>
      <c r="T24" s="40"/>
      <c r="U24" s="40"/>
      <c r="V24" s="40" t="s">
        <v>7</v>
      </c>
      <c r="W24" s="40"/>
      <c r="X24" s="40"/>
      <c r="Y24" s="40" t="s">
        <v>0</v>
      </c>
      <c r="Z24" s="40"/>
      <c r="AA24" s="40"/>
    </row>
    <row r="25" spans="1:27" x14ac:dyDescent="0.35">
      <c r="A25" s="5" t="s">
        <v>11</v>
      </c>
      <c r="B25" s="6" t="s">
        <v>16</v>
      </c>
      <c r="C25" s="6" t="s">
        <v>65</v>
      </c>
      <c r="D25" s="5" t="s">
        <v>38</v>
      </c>
      <c r="E25" s="4" t="s">
        <v>69</v>
      </c>
      <c r="F25" s="4" t="s">
        <v>26</v>
      </c>
      <c r="G25" s="4" t="s">
        <v>70</v>
      </c>
      <c r="H25" s="13" t="s">
        <v>17</v>
      </c>
      <c r="I25" s="4" t="s">
        <v>16</v>
      </c>
      <c r="J25" s="5" t="s">
        <v>69</v>
      </c>
      <c r="K25" s="4" t="s">
        <v>17</v>
      </c>
      <c r="L25" s="4" t="s">
        <v>17</v>
      </c>
      <c r="M25" s="5" t="s">
        <v>68</v>
      </c>
      <c r="O25" s="9" t="s">
        <v>11</v>
      </c>
      <c r="P25" s="28">
        <f>1/20</f>
        <v>0.05</v>
      </c>
      <c r="Q25" s="28">
        <f>7/20</f>
        <v>0.35</v>
      </c>
      <c r="R25" s="31">
        <f>12/20</f>
        <v>0.6</v>
      </c>
      <c r="S25" s="33">
        <f>5/31</f>
        <v>0.16129032258064516</v>
      </c>
      <c r="T25" s="30">
        <f>6/31</f>
        <v>0.19354838709677419</v>
      </c>
      <c r="U25" s="31">
        <f>20/31</f>
        <v>0.64516129032258063</v>
      </c>
      <c r="V25" s="30">
        <f>0/6</f>
        <v>0</v>
      </c>
      <c r="W25" s="30">
        <f>1/6</f>
        <v>0.16666666666666666</v>
      </c>
      <c r="X25" s="31">
        <f>5/6</f>
        <v>0.83333333333333337</v>
      </c>
      <c r="Y25" s="30">
        <f>0/7</f>
        <v>0</v>
      </c>
      <c r="Z25" s="30">
        <f>0/7</f>
        <v>0</v>
      </c>
      <c r="AA25" s="31">
        <f>7/7</f>
        <v>1</v>
      </c>
    </row>
    <row r="26" spans="1:27" x14ac:dyDescent="0.35">
      <c r="A26" s="5" t="s">
        <v>10</v>
      </c>
      <c r="B26" s="6" t="s">
        <v>34</v>
      </c>
      <c r="C26" s="6" t="s">
        <v>66</v>
      </c>
      <c r="D26" s="5" t="s">
        <v>67</v>
      </c>
      <c r="E26" s="6" t="s">
        <v>17</v>
      </c>
      <c r="F26" s="4" t="s">
        <v>43</v>
      </c>
      <c r="G26" s="4" t="s">
        <v>71</v>
      </c>
      <c r="H26" s="13" t="s">
        <v>22</v>
      </c>
      <c r="I26" s="4" t="s">
        <v>21</v>
      </c>
      <c r="J26" s="5" t="s">
        <v>65</v>
      </c>
      <c r="K26" s="4" t="s">
        <v>17</v>
      </c>
      <c r="L26" s="4" t="s">
        <v>22</v>
      </c>
      <c r="M26" s="5" t="s">
        <v>22</v>
      </c>
      <c r="O26" s="10" t="s">
        <v>10</v>
      </c>
      <c r="P26" s="32">
        <f>4/24</f>
        <v>0.16666666666666666</v>
      </c>
      <c r="Q26" s="28">
        <f>9/24</f>
        <v>0.375</v>
      </c>
      <c r="R26" s="31">
        <f>11/24</f>
        <v>0.45833333333333331</v>
      </c>
      <c r="S26" s="30">
        <f>0/24</f>
        <v>0</v>
      </c>
      <c r="T26" s="30">
        <f>3/24</f>
        <v>0.125</v>
      </c>
      <c r="U26" s="31">
        <f>21/24</f>
        <v>0.875</v>
      </c>
      <c r="V26" s="33">
        <f>2/20</f>
        <v>0.1</v>
      </c>
      <c r="W26" s="33">
        <f>11/20</f>
        <v>0.55000000000000004</v>
      </c>
      <c r="X26" s="31">
        <f>7/20</f>
        <v>0.35</v>
      </c>
      <c r="Y26" s="30">
        <f>0/4</f>
        <v>0</v>
      </c>
      <c r="Z26" s="33">
        <f>2/4</f>
        <v>0.5</v>
      </c>
      <c r="AA26" s="31">
        <f>2/4</f>
        <v>0.5</v>
      </c>
    </row>
    <row r="27" spans="1:27" x14ac:dyDescent="0.35">
      <c r="A27" s="5" t="s">
        <v>12</v>
      </c>
      <c r="B27" s="6" t="s">
        <v>16</v>
      </c>
      <c r="C27" s="6" t="s">
        <v>68</v>
      </c>
      <c r="D27" s="5" t="s">
        <v>15</v>
      </c>
      <c r="E27" s="6" t="s">
        <v>17</v>
      </c>
      <c r="F27" s="4" t="s">
        <v>72</v>
      </c>
      <c r="G27" s="4" t="s">
        <v>73</v>
      </c>
      <c r="H27" s="13" t="s">
        <v>17</v>
      </c>
      <c r="I27" s="4" t="s">
        <v>17</v>
      </c>
      <c r="J27" s="5" t="s">
        <v>24</v>
      </c>
      <c r="K27" s="4" t="s">
        <v>17</v>
      </c>
      <c r="L27" s="4" t="s">
        <v>17</v>
      </c>
      <c r="M27" s="5" t="s">
        <v>74</v>
      </c>
      <c r="O27" s="7" t="s">
        <v>12</v>
      </c>
      <c r="P27" s="28">
        <f>1/16</f>
        <v>6.25E-2</v>
      </c>
      <c r="Q27" s="32">
        <f>7/16</f>
        <v>0.4375</v>
      </c>
      <c r="R27" s="31">
        <f>8/16</f>
        <v>0.5</v>
      </c>
      <c r="S27" s="30">
        <f>0/21</f>
        <v>0</v>
      </c>
      <c r="T27" s="33">
        <f>8/21</f>
        <v>0.38095238095238093</v>
      </c>
      <c r="U27" s="31">
        <f>13/21</f>
        <v>0.61904761904761907</v>
      </c>
      <c r="V27" s="30">
        <f>0/4</f>
        <v>0</v>
      </c>
      <c r="W27" s="30">
        <f>0/4</f>
        <v>0</v>
      </c>
      <c r="X27" s="31">
        <f>4/4</f>
        <v>1</v>
      </c>
      <c r="Y27" s="30">
        <f>0/8</f>
        <v>0</v>
      </c>
      <c r="Z27" s="30">
        <f>0/8</f>
        <v>0</v>
      </c>
      <c r="AA27" s="31">
        <f>8/8</f>
        <v>1</v>
      </c>
    </row>
    <row r="28" spans="1:27" x14ac:dyDescent="0.35">
      <c r="A28" s="5" t="s">
        <v>1</v>
      </c>
      <c r="B28" s="6" t="s">
        <v>17</v>
      </c>
      <c r="C28" s="6" t="s">
        <v>17</v>
      </c>
      <c r="D28" s="5" t="s">
        <v>33</v>
      </c>
      <c r="E28" s="6" t="s">
        <v>17</v>
      </c>
      <c r="F28" s="4" t="s">
        <v>19</v>
      </c>
      <c r="G28" s="4" t="s">
        <v>17</v>
      </c>
      <c r="H28" s="13" t="s">
        <v>17</v>
      </c>
      <c r="I28" s="4" t="s">
        <v>17</v>
      </c>
      <c r="J28" s="5" t="s">
        <v>17</v>
      </c>
      <c r="K28" s="4" t="s">
        <v>17</v>
      </c>
      <c r="L28" s="4" t="s">
        <v>17</v>
      </c>
      <c r="M28" s="5" t="s">
        <v>17</v>
      </c>
    </row>
    <row r="29" spans="1:27" x14ac:dyDescent="0.35">
      <c r="A29" s="6"/>
    </row>
    <row r="30" spans="1:27" x14ac:dyDescent="0.35">
      <c r="A30" s="2"/>
      <c r="B30" s="43" t="s">
        <v>9</v>
      </c>
      <c r="C30" s="43"/>
      <c r="D30" s="43"/>
      <c r="E30" s="43" t="s">
        <v>9</v>
      </c>
      <c r="F30" s="43"/>
      <c r="G30" s="43"/>
      <c r="H30" s="43" t="s">
        <v>9</v>
      </c>
      <c r="I30" s="43"/>
      <c r="J30" s="43"/>
      <c r="K30" s="43" t="s">
        <v>9</v>
      </c>
      <c r="L30" s="43"/>
      <c r="M30" s="43"/>
      <c r="P30" s="41" t="s">
        <v>9</v>
      </c>
      <c r="Q30" s="41"/>
      <c r="R30" s="41"/>
      <c r="S30" s="41" t="s">
        <v>9</v>
      </c>
      <c r="T30" s="41"/>
      <c r="U30" s="41"/>
      <c r="V30" s="41" t="s">
        <v>9</v>
      </c>
      <c r="W30" s="41"/>
      <c r="X30" s="41"/>
      <c r="Y30" s="41" t="s">
        <v>9</v>
      </c>
      <c r="Z30" s="41"/>
      <c r="AA30" s="41"/>
    </row>
    <row r="31" spans="1:27" x14ac:dyDescent="0.35">
      <c r="A31" s="3" t="s">
        <v>5</v>
      </c>
      <c r="B31" s="40" t="s">
        <v>6</v>
      </c>
      <c r="C31" s="40"/>
      <c r="D31" s="40"/>
      <c r="E31" s="40" t="s">
        <v>14</v>
      </c>
      <c r="F31" s="40"/>
      <c r="G31" s="40"/>
      <c r="H31" s="40" t="s">
        <v>7</v>
      </c>
      <c r="I31" s="40"/>
      <c r="J31" s="40"/>
      <c r="K31" s="40" t="s">
        <v>0</v>
      </c>
      <c r="L31" s="40"/>
      <c r="M31" s="40"/>
      <c r="O31" s="1" t="s">
        <v>5</v>
      </c>
      <c r="P31" s="38" t="s">
        <v>6</v>
      </c>
      <c r="Q31" s="38"/>
      <c r="R31" s="38"/>
      <c r="S31" s="38" t="s">
        <v>14</v>
      </c>
      <c r="T31" s="38"/>
      <c r="U31" s="38"/>
      <c r="V31" s="38" t="s">
        <v>7</v>
      </c>
      <c r="W31" s="38"/>
      <c r="X31" s="38"/>
      <c r="Y31" s="38" t="s">
        <v>0</v>
      </c>
      <c r="Z31" s="38"/>
      <c r="AA31" s="38"/>
    </row>
    <row r="32" spans="1:27" x14ac:dyDescent="0.35">
      <c r="A32" s="5" t="s">
        <v>11</v>
      </c>
      <c r="B32" s="6" t="s">
        <v>39</v>
      </c>
      <c r="C32" s="6" t="s">
        <v>75</v>
      </c>
      <c r="D32" s="5" t="s">
        <v>76</v>
      </c>
      <c r="E32" s="4" t="s">
        <v>15</v>
      </c>
      <c r="F32" s="4" t="s">
        <v>35</v>
      </c>
      <c r="G32" s="5" t="s">
        <v>32</v>
      </c>
      <c r="H32" s="6" t="s">
        <v>17</v>
      </c>
      <c r="I32" s="4" t="s">
        <v>16</v>
      </c>
      <c r="J32" s="5" t="s">
        <v>27</v>
      </c>
      <c r="K32" s="4" t="s">
        <v>16</v>
      </c>
      <c r="L32" s="4" t="s">
        <v>29</v>
      </c>
      <c r="M32" s="5" t="s">
        <v>68</v>
      </c>
      <c r="O32" s="9" t="s">
        <v>11</v>
      </c>
      <c r="P32" s="20">
        <f>3/28</f>
        <v>0.10714285714285714</v>
      </c>
      <c r="Q32" s="34">
        <f>5/28</f>
        <v>0.17857142857142858</v>
      </c>
      <c r="R32" s="21">
        <f>20/28</f>
        <v>0.7142857142857143</v>
      </c>
      <c r="S32" s="26">
        <f>8/35</f>
        <v>0.22857142857142856</v>
      </c>
      <c r="T32" s="26">
        <f>4/35</f>
        <v>0.11428571428571428</v>
      </c>
      <c r="U32" s="21">
        <f>23/35</f>
        <v>0.65714285714285714</v>
      </c>
      <c r="V32" s="26">
        <f>0/11</f>
        <v>0</v>
      </c>
      <c r="W32" s="35">
        <f>1/11</f>
        <v>9.0909090909090912E-2</v>
      </c>
      <c r="X32" s="21">
        <f>10/11</f>
        <v>0.90909090909090906</v>
      </c>
      <c r="Y32" s="35">
        <f>1/11</f>
        <v>9.0909090909090912E-2</v>
      </c>
      <c r="Z32" s="35">
        <f>3/11</f>
        <v>0.27272727272727271</v>
      </c>
      <c r="AA32" s="21">
        <f>7/11</f>
        <v>0.63636363636363635</v>
      </c>
    </row>
    <row r="33" spans="1:27" x14ac:dyDescent="0.35">
      <c r="A33" s="5" t="s">
        <v>10</v>
      </c>
      <c r="B33" s="6" t="s">
        <v>24</v>
      </c>
      <c r="C33" s="6" t="s">
        <v>22</v>
      </c>
      <c r="D33" s="5" t="s">
        <v>77</v>
      </c>
      <c r="E33" s="4" t="s">
        <v>79</v>
      </c>
      <c r="F33" s="4" t="s">
        <v>16</v>
      </c>
      <c r="G33" s="5" t="s">
        <v>80</v>
      </c>
      <c r="H33" s="4" t="s">
        <v>16</v>
      </c>
      <c r="I33" s="6" t="s">
        <v>17</v>
      </c>
      <c r="J33" s="5" t="s">
        <v>28</v>
      </c>
      <c r="K33" s="6" t="s">
        <v>17</v>
      </c>
      <c r="L33" s="6" t="s">
        <v>17</v>
      </c>
      <c r="M33" s="5" t="s">
        <v>34</v>
      </c>
      <c r="O33" s="10" t="s">
        <v>10</v>
      </c>
      <c r="P33" s="34">
        <f>4/32</f>
        <v>0.125</v>
      </c>
      <c r="Q33" s="20">
        <f>2/32</f>
        <v>6.25E-2</v>
      </c>
      <c r="R33" s="21">
        <f>26/32</f>
        <v>0.8125</v>
      </c>
      <c r="S33" s="35">
        <f>6/19</f>
        <v>0.31578947368421051</v>
      </c>
      <c r="T33" s="26">
        <f>1/19</f>
        <v>5.2631578947368418E-2</v>
      </c>
      <c r="U33" s="21">
        <f>12/19</f>
        <v>0.63157894736842102</v>
      </c>
      <c r="V33" s="35">
        <f>1/14</f>
        <v>7.1428571428571425E-2</v>
      </c>
      <c r="W33" s="26">
        <f>0/14</f>
        <v>0</v>
      </c>
      <c r="X33" s="21">
        <f>13/14</f>
        <v>0.9285714285714286</v>
      </c>
      <c r="Y33" s="20">
        <f>0/4</f>
        <v>0</v>
      </c>
      <c r="Z33" s="20">
        <f>0/4</f>
        <v>0</v>
      </c>
      <c r="AA33" s="21">
        <f>4/4</f>
        <v>1</v>
      </c>
    </row>
    <row r="34" spans="1:27" x14ac:dyDescent="0.35">
      <c r="A34" s="5" t="s">
        <v>12</v>
      </c>
      <c r="B34" s="6" t="s">
        <v>16</v>
      </c>
      <c r="C34" s="6" t="s">
        <v>33</v>
      </c>
      <c r="D34" s="5" t="s">
        <v>78</v>
      </c>
      <c r="E34" s="4" t="s">
        <v>34</v>
      </c>
      <c r="F34" s="4" t="s">
        <v>81</v>
      </c>
      <c r="G34" s="5" t="s">
        <v>53</v>
      </c>
      <c r="H34" s="6" t="s">
        <v>17</v>
      </c>
      <c r="I34" s="6" t="s">
        <v>17</v>
      </c>
      <c r="J34" s="5" t="s">
        <v>19</v>
      </c>
      <c r="K34" s="6" t="s">
        <v>17</v>
      </c>
      <c r="L34" s="4" t="s">
        <v>29</v>
      </c>
      <c r="M34" s="5" t="s">
        <v>74</v>
      </c>
      <c r="O34" s="7" t="s">
        <v>12</v>
      </c>
      <c r="P34" s="20">
        <f>1/17</f>
        <v>5.8823529411764705E-2</v>
      </c>
      <c r="Q34" s="20">
        <f>2/17</f>
        <v>0.11764705882352941</v>
      </c>
      <c r="R34" s="21">
        <f>14/17</f>
        <v>0.82352941176470584</v>
      </c>
      <c r="S34" s="26">
        <f>4/24</f>
        <v>0.16666666666666666</v>
      </c>
      <c r="T34" s="35">
        <f>4/24</f>
        <v>0.16666666666666666</v>
      </c>
      <c r="U34" s="21">
        <f>16/24</f>
        <v>0.66666666666666663</v>
      </c>
      <c r="V34" s="26">
        <f>0/5</f>
        <v>0</v>
      </c>
      <c r="W34" s="26">
        <f>0/5</f>
        <v>0</v>
      </c>
      <c r="X34" s="21">
        <f>5/5</f>
        <v>1</v>
      </c>
      <c r="Y34" s="20">
        <f>0/11</f>
        <v>0</v>
      </c>
      <c r="Z34" s="35">
        <f>3/11</f>
        <v>0.27272727272727271</v>
      </c>
      <c r="AA34" s="21">
        <f>8/11</f>
        <v>0.72727272727272729</v>
      </c>
    </row>
    <row r="35" spans="1:27" x14ac:dyDescent="0.35">
      <c r="A35" s="5" t="s">
        <v>1</v>
      </c>
      <c r="B35" s="6" t="s">
        <v>17</v>
      </c>
      <c r="C35" s="6" t="s">
        <v>17</v>
      </c>
      <c r="D35" s="5" t="s">
        <v>17</v>
      </c>
      <c r="E35" s="6" t="s">
        <v>17</v>
      </c>
      <c r="F35" s="6" t="s">
        <v>17</v>
      </c>
      <c r="G35" s="5" t="s">
        <v>16</v>
      </c>
      <c r="H35" s="6" t="s">
        <v>17</v>
      </c>
      <c r="I35" s="6" t="s">
        <v>17</v>
      </c>
      <c r="J35" s="5" t="s">
        <v>16</v>
      </c>
      <c r="K35" s="4" t="s">
        <v>16</v>
      </c>
      <c r="L35" s="4" t="s">
        <v>47</v>
      </c>
      <c r="M35" s="5" t="s">
        <v>17</v>
      </c>
    </row>
    <row r="38" spans="1:27" ht="18.5" x14ac:dyDescent="0.45">
      <c r="A38" s="37" t="s">
        <v>91</v>
      </c>
    </row>
    <row r="39" spans="1:27" x14ac:dyDescent="0.35">
      <c r="O39" s="1" t="s">
        <v>88</v>
      </c>
    </row>
    <row r="41" spans="1:27" x14ac:dyDescent="0.35">
      <c r="A41" t="s">
        <v>13</v>
      </c>
      <c r="B41" s="11" t="s">
        <v>3</v>
      </c>
      <c r="C41" s="11" t="s">
        <v>4</v>
      </c>
      <c r="D41" s="12" t="s">
        <v>2</v>
      </c>
      <c r="E41" s="11" t="s">
        <v>3</v>
      </c>
      <c r="F41" s="11" t="s">
        <v>4</v>
      </c>
      <c r="G41" s="12" t="s">
        <v>2</v>
      </c>
      <c r="H41" s="11" t="s">
        <v>3</v>
      </c>
      <c r="I41" s="11" t="s">
        <v>4</v>
      </c>
      <c r="J41" s="12" t="s">
        <v>2</v>
      </c>
      <c r="K41" s="11" t="s">
        <v>3</v>
      </c>
      <c r="L41" s="11" t="s">
        <v>4</v>
      </c>
      <c r="M41" s="12" t="s">
        <v>2</v>
      </c>
      <c r="O41" t="s">
        <v>13</v>
      </c>
      <c r="P41" s="11" t="s">
        <v>3</v>
      </c>
      <c r="Q41" s="11" t="s">
        <v>4</v>
      </c>
      <c r="R41" s="12" t="s">
        <v>2</v>
      </c>
      <c r="S41" s="11" t="s">
        <v>3</v>
      </c>
      <c r="T41" s="11" t="s">
        <v>4</v>
      </c>
      <c r="U41" s="12" t="s">
        <v>2</v>
      </c>
      <c r="V41" s="11" t="s">
        <v>3</v>
      </c>
      <c r="W41" s="11" t="s">
        <v>4</v>
      </c>
      <c r="X41" s="12" t="s">
        <v>2</v>
      </c>
      <c r="Y41" s="11" t="s">
        <v>3</v>
      </c>
      <c r="Z41" s="11" t="s">
        <v>4</v>
      </c>
      <c r="AA41" s="12" t="s">
        <v>2</v>
      </c>
    </row>
    <row r="42" spans="1:27" x14ac:dyDescent="0.35">
      <c r="A42" s="2"/>
      <c r="B42" s="43" t="s">
        <v>8</v>
      </c>
      <c r="C42" s="43"/>
      <c r="D42" s="43"/>
      <c r="E42" s="43" t="s">
        <v>8</v>
      </c>
      <c r="F42" s="43"/>
      <c r="G42" s="43"/>
      <c r="H42" s="43" t="s">
        <v>8</v>
      </c>
      <c r="I42" s="43"/>
      <c r="J42" s="43"/>
      <c r="K42" s="43" t="s">
        <v>8</v>
      </c>
      <c r="L42" s="43"/>
      <c r="M42" s="43"/>
      <c r="P42" s="39" t="s">
        <v>8</v>
      </c>
      <c r="Q42" s="39"/>
      <c r="R42" s="39"/>
      <c r="S42" s="39" t="s">
        <v>8</v>
      </c>
      <c r="T42" s="39"/>
      <c r="U42" s="39"/>
      <c r="V42" s="39" t="s">
        <v>8</v>
      </c>
      <c r="W42" s="39"/>
      <c r="X42" s="39"/>
      <c r="Y42" s="39" t="s">
        <v>8</v>
      </c>
      <c r="Z42" s="39"/>
      <c r="AA42" s="39"/>
    </row>
    <row r="43" spans="1:27" x14ac:dyDescent="0.35">
      <c r="A43" s="3" t="s">
        <v>5</v>
      </c>
      <c r="B43" s="40" t="s">
        <v>6</v>
      </c>
      <c r="C43" s="40"/>
      <c r="D43" s="40"/>
      <c r="E43" s="40" t="s">
        <v>14</v>
      </c>
      <c r="F43" s="40"/>
      <c r="G43" s="40"/>
      <c r="H43" s="40" t="s">
        <v>7</v>
      </c>
      <c r="I43" s="40"/>
      <c r="J43" s="40"/>
      <c r="K43" s="40" t="s">
        <v>0</v>
      </c>
      <c r="L43" s="40"/>
      <c r="M43" s="40"/>
      <c r="O43" s="1" t="s">
        <v>5</v>
      </c>
      <c r="P43" s="40" t="s">
        <v>6</v>
      </c>
      <c r="Q43" s="40"/>
      <c r="R43" s="40"/>
      <c r="S43" s="40" t="s">
        <v>14</v>
      </c>
      <c r="T43" s="40"/>
      <c r="U43" s="40"/>
      <c r="V43" s="40" t="s">
        <v>7</v>
      </c>
      <c r="W43" s="40"/>
      <c r="X43" s="40"/>
      <c r="Y43" s="40" t="s">
        <v>0</v>
      </c>
      <c r="Z43" s="40"/>
      <c r="AA43" s="40"/>
    </row>
    <row r="44" spans="1:27" x14ac:dyDescent="0.35">
      <c r="A44" s="5" t="s">
        <v>11</v>
      </c>
      <c r="B44" s="6" t="s">
        <v>16</v>
      </c>
      <c r="C44" s="6" t="s">
        <v>81</v>
      </c>
      <c r="D44" s="5" t="s">
        <v>68</v>
      </c>
      <c r="E44" s="4" t="s">
        <v>46</v>
      </c>
      <c r="F44" s="4" t="s">
        <v>67</v>
      </c>
      <c r="G44" s="4" t="s">
        <v>82</v>
      </c>
      <c r="H44" s="13" t="s">
        <v>17</v>
      </c>
      <c r="I44" s="6" t="s">
        <v>17</v>
      </c>
      <c r="J44" s="5" t="s">
        <v>24</v>
      </c>
      <c r="K44" s="6" t="s">
        <v>17</v>
      </c>
      <c r="L44" s="4" t="s">
        <v>16</v>
      </c>
      <c r="M44" s="5" t="s">
        <v>65</v>
      </c>
      <c r="O44" s="9" t="s">
        <v>11</v>
      </c>
      <c r="P44" s="28">
        <f>1/12</f>
        <v>8.3333333333333329E-2</v>
      </c>
      <c r="Q44" s="28">
        <f>4/12</f>
        <v>0.33333333333333331</v>
      </c>
      <c r="R44" s="31">
        <f>7/12</f>
        <v>0.58333333333333337</v>
      </c>
      <c r="S44" s="30">
        <f>6/35</f>
        <v>0.17142857142857143</v>
      </c>
      <c r="T44" s="30">
        <f>11/35</f>
        <v>0.31428571428571428</v>
      </c>
      <c r="U44" s="31">
        <f>18/35</f>
        <v>0.51428571428571423</v>
      </c>
      <c r="V44" s="30">
        <f>0/4</f>
        <v>0</v>
      </c>
      <c r="W44" s="30">
        <f>0/4</f>
        <v>0</v>
      </c>
      <c r="X44" s="31">
        <f>4/4</f>
        <v>1</v>
      </c>
      <c r="Y44" s="30">
        <f>0/8</f>
        <v>0</v>
      </c>
      <c r="Z44" s="30">
        <f>1/8</f>
        <v>0.125</v>
      </c>
      <c r="AA44" s="31">
        <f>7/8</f>
        <v>0.875</v>
      </c>
    </row>
    <row r="45" spans="1:27" x14ac:dyDescent="0.35">
      <c r="A45" s="5" t="s">
        <v>10</v>
      </c>
      <c r="B45" s="6" t="s">
        <v>17</v>
      </c>
      <c r="C45" s="6" t="s">
        <v>81</v>
      </c>
      <c r="D45" s="5" t="s">
        <v>37</v>
      </c>
      <c r="E45" s="4" t="s">
        <v>24</v>
      </c>
      <c r="F45" s="4" t="s">
        <v>80</v>
      </c>
      <c r="G45" s="4" t="s">
        <v>74</v>
      </c>
      <c r="H45" s="13" t="s">
        <v>17</v>
      </c>
      <c r="I45" s="6" t="s">
        <v>17</v>
      </c>
      <c r="J45" s="5" t="s">
        <v>83</v>
      </c>
      <c r="K45" s="6" t="s">
        <v>17</v>
      </c>
      <c r="L45" s="6" t="s">
        <v>17</v>
      </c>
      <c r="M45" s="5" t="s">
        <v>16</v>
      </c>
      <c r="O45" s="10" t="s">
        <v>10</v>
      </c>
      <c r="P45" s="28">
        <f>0/15</f>
        <v>0</v>
      </c>
      <c r="Q45" s="28">
        <f>4/15</f>
        <v>0.26666666666666666</v>
      </c>
      <c r="R45" s="31">
        <f>11/15</f>
        <v>0.73333333333333328</v>
      </c>
      <c r="S45" s="30">
        <f>4/24</f>
        <v>0.16666666666666666</v>
      </c>
      <c r="T45" s="30">
        <f>12/24</f>
        <v>0.5</v>
      </c>
      <c r="U45" s="31">
        <f>8/24</f>
        <v>0.33333333333333331</v>
      </c>
      <c r="V45" s="30">
        <f>0/10</f>
        <v>0</v>
      </c>
      <c r="W45" s="30">
        <f>0/10</f>
        <v>0</v>
      </c>
      <c r="X45" s="31">
        <f>10/10</f>
        <v>1</v>
      </c>
      <c r="Y45" s="30">
        <f>0/1</f>
        <v>0</v>
      </c>
      <c r="Z45" s="30">
        <f>0/1</f>
        <v>0</v>
      </c>
      <c r="AA45" s="31">
        <f>1/1</f>
        <v>1</v>
      </c>
    </row>
    <row r="46" spans="1:27" x14ac:dyDescent="0.35">
      <c r="A46" s="5" t="s">
        <v>12</v>
      </c>
      <c r="B46" s="6" t="s">
        <v>33</v>
      </c>
      <c r="C46" s="6" t="s">
        <v>39</v>
      </c>
      <c r="D46" s="5" t="s">
        <v>16</v>
      </c>
      <c r="E46" s="4" t="s">
        <v>34</v>
      </c>
      <c r="F46" s="4" t="s">
        <v>25</v>
      </c>
      <c r="G46" s="4" t="s">
        <v>22</v>
      </c>
      <c r="H46" s="13" t="s">
        <v>17</v>
      </c>
      <c r="I46" s="6" t="s">
        <v>17</v>
      </c>
      <c r="J46" s="5" t="s">
        <v>17</v>
      </c>
      <c r="K46" s="6" t="s">
        <v>17</v>
      </c>
      <c r="L46" s="4" t="s">
        <v>22</v>
      </c>
      <c r="M46" s="5" t="s">
        <v>22</v>
      </c>
      <c r="O46" s="7" t="s">
        <v>12</v>
      </c>
      <c r="P46" s="29">
        <f>2/6</f>
        <v>0.33333333333333331</v>
      </c>
      <c r="Q46" s="29">
        <f>3/6</f>
        <v>0.5</v>
      </c>
      <c r="R46" s="31">
        <f>1/6</f>
        <v>0.16666666666666666</v>
      </c>
      <c r="S46" s="27">
        <f>4/16</f>
        <v>0.25</v>
      </c>
      <c r="T46" s="27">
        <f>10/16</f>
        <v>0.625</v>
      </c>
      <c r="U46" s="31">
        <f>2/16</f>
        <v>0.125</v>
      </c>
      <c r="V46" s="30"/>
      <c r="W46" s="30"/>
      <c r="X46" s="31"/>
      <c r="Y46" s="30">
        <f>0/4</f>
        <v>0</v>
      </c>
      <c r="Z46" s="27">
        <f>2/4</f>
        <v>0.5</v>
      </c>
      <c r="AA46" s="31">
        <f>2/4</f>
        <v>0.5</v>
      </c>
    </row>
    <row r="47" spans="1:27" x14ac:dyDescent="0.35">
      <c r="A47" s="5" t="s">
        <v>1</v>
      </c>
      <c r="B47" s="6" t="s">
        <v>17</v>
      </c>
      <c r="C47" s="6" t="s">
        <v>16</v>
      </c>
      <c r="D47" s="5" t="s">
        <v>17</v>
      </c>
      <c r="E47" s="6" t="s">
        <v>17</v>
      </c>
      <c r="F47" s="6" t="s">
        <v>17</v>
      </c>
      <c r="G47" s="5" t="s">
        <v>17</v>
      </c>
      <c r="H47" s="6" t="s">
        <v>17</v>
      </c>
      <c r="I47" s="6" t="s">
        <v>17</v>
      </c>
      <c r="J47" s="5" t="s">
        <v>16</v>
      </c>
      <c r="K47" s="6" t="s">
        <v>17</v>
      </c>
      <c r="L47" s="6" t="s">
        <v>17</v>
      </c>
      <c r="M47" s="5" t="s">
        <v>17</v>
      </c>
    </row>
    <row r="48" spans="1:27" x14ac:dyDescent="0.35">
      <c r="A48" s="6"/>
    </row>
    <row r="49" spans="1:27" x14ac:dyDescent="0.35">
      <c r="A49" s="2"/>
      <c r="B49" s="43" t="s">
        <v>9</v>
      </c>
      <c r="C49" s="43"/>
      <c r="D49" s="43"/>
      <c r="E49" s="43" t="s">
        <v>9</v>
      </c>
      <c r="F49" s="43"/>
      <c r="G49" s="43"/>
      <c r="H49" s="43" t="s">
        <v>9</v>
      </c>
      <c r="I49" s="43"/>
      <c r="J49" s="43"/>
      <c r="K49" s="43" t="s">
        <v>9</v>
      </c>
      <c r="L49" s="43"/>
      <c r="M49" s="43"/>
      <c r="P49" s="41" t="s">
        <v>9</v>
      </c>
      <c r="Q49" s="41"/>
      <c r="R49" s="41"/>
      <c r="S49" s="41" t="s">
        <v>9</v>
      </c>
      <c r="T49" s="41"/>
      <c r="U49" s="41"/>
      <c r="V49" s="41" t="s">
        <v>9</v>
      </c>
      <c r="W49" s="41"/>
      <c r="X49" s="41"/>
      <c r="Y49" s="41" t="s">
        <v>9</v>
      </c>
      <c r="Z49" s="41"/>
      <c r="AA49" s="41"/>
    </row>
    <row r="50" spans="1:27" x14ac:dyDescent="0.35">
      <c r="A50" s="3" t="s">
        <v>5</v>
      </c>
      <c r="B50" s="40" t="s">
        <v>6</v>
      </c>
      <c r="C50" s="40"/>
      <c r="D50" s="40"/>
      <c r="E50" s="40" t="s">
        <v>14</v>
      </c>
      <c r="F50" s="40"/>
      <c r="G50" s="40"/>
      <c r="H50" s="40" t="s">
        <v>7</v>
      </c>
      <c r="I50" s="40"/>
      <c r="J50" s="40"/>
      <c r="K50" s="40" t="s">
        <v>0</v>
      </c>
      <c r="L50" s="40"/>
      <c r="M50" s="40"/>
      <c r="O50" s="1" t="s">
        <v>5</v>
      </c>
      <c r="P50" s="38" t="s">
        <v>6</v>
      </c>
      <c r="Q50" s="38"/>
      <c r="R50" s="38"/>
      <c r="S50" s="38" t="s">
        <v>14</v>
      </c>
      <c r="T50" s="38"/>
      <c r="U50" s="38"/>
      <c r="V50" s="38" t="s">
        <v>7</v>
      </c>
      <c r="W50" s="38"/>
      <c r="X50" s="38"/>
      <c r="Y50" s="38" t="s">
        <v>0</v>
      </c>
      <c r="Z50" s="38"/>
      <c r="AA50" s="38"/>
    </row>
    <row r="51" spans="1:27" x14ac:dyDescent="0.35">
      <c r="A51" s="5" t="s">
        <v>11</v>
      </c>
      <c r="B51" s="6" t="s">
        <v>43</v>
      </c>
      <c r="C51" s="6" t="s">
        <v>22</v>
      </c>
      <c r="D51" s="5" t="s">
        <v>84</v>
      </c>
      <c r="E51" s="4" t="s">
        <v>75</v>
      </c>
      <c r="F51" s="4" t="s">
        <v>81</v>
      </c>
      <c r="G51" s="5" t="s">
        <v>85</v>
      </c>
      <c r="H51" s="4" t="s">
        <v>16</v>
      </c>
      <c r="I51" s="6" t="s">
        <v>17</v>
      </c>
      <c r="J51" s="5" t="s">
        <v>17</v>
      </c>
      <c r="K51" s="6" t="s">
        <v>17</v>
      </c>
      <c r="L51" s="6" t="s">
        <v>17</v>
      </c>
      <c r="M51" s="5" t="s">
        <v>79</v>
      </c>
      <c r="O51" s="9" t="s">
        <v>11</v>
      </c>
      <c r="P51" s="24">
        <f>3/13</f>
        <v>0.23076923076923078</v>
      </c>
      <c r="Q51" s="20">
        <f>2/13</f>
        <v>0.15384615384615385</v>
      </c>
      <c r="R51" s="21">
        <f>8/13</f>
        <v>0.61538461538461542</v>
      </c>
      <c r="S51" s="26">
        <f>5/22</f>
        <v>0.22727272727272727</v>
      </c>
      <c r="T51" s="26">
        <f>4/22</f>
        <v>0.18181818181818182</v>
      </c>
      <c r="U51" s="21">
        <f>13/22</f>
        <v>0.59090909090909094</v>
      </c>
      <c r="V51" s="25">
        <f>1/1</f>
        <v>1</v>
      </c>
      <c r="W51" s="26">
        <f>0/1</f>
        <v>0</v>
      </c>
      <c r="X51" s="21">
        <f>0/1</f>
        <v>0</v>
      </c>
      <c r="Y51" s="26">
        <f>0/6</f>
        <v>0</v>
      </c>
      <c r="Z51" s="26">
        <f>0/6</f>
        <v>0</v>
      </c>
      <c r="AA51" s="21">
        <f>6/6</f>
        <v>1</v>
      </c>
    </row>
    <row r="52" spans="1:27" x14ac:dyDescent="0.35">
      <c r="A52" s="5" t="s">
        <v>10</v>
      </c>
      <c r="B52" s="6" t="s">
        <v>43</v>
      </c>
      <c r="C52" s="6" t="s">
        <v>56</v>
      </c>
      <c r="D52" s="5" t="s">
        <v>34</v>
      </c>
      <c r="E52" s="4" t="s">
        <v>15</v>
      </c>
      <c r="F52" s="4" t="s">
        <v>39</v>
      </c>
      <c r="G52" s="5" t="s">
        <v>39</v>
      </c>
      <c r="H52" s="6" t="s">
        <v>17</v>
      </c>
      <c r="I52" s="4" t="s">
        <v>16</v>
      </c>
      <c r="J52" s="5" t="s">
        <v>16</v>
      </c>
      <c r="K52" s="6" t="s">
        <v>17</v>
      </c>
      <c r="L52" s="6" t="s">
        <v>17</v>
      </c>
      <c r="M52" s="5" t="s">
        <v>17</v>
      </c>
      <c r="O52" s="10" t="s">
        <v>10</v>
      </c>
      <c r="P52" s="24">
        <f>3/13</f>
        <v>0.23076923076923078</v>
      </c>
      <c r="Q52" s="24">
        <f>6/13</f>
        <v>0.46153846153846156</v>
      </c>
      <c r="R52" s="21">
        <f>4/13</f>
        <v>0.30769230769230771</v>
      </c>
      <c r="S52" s="25">
        <f>8/14</f>
        <v>0.5714285714285714</v>
      </c>
      <c r="T52" s="25">
        <f>3/14</f>
        <v>0.21428571428571427</v>
      </c>
      <c r="U52" s="21">
        <f>3/14</f>
        <v>0.21428571428571427</v>
      </c>
      <c r="V52" s="26">
        <f>0/2</f>
        <v>0</v>
      </c>
      <c r="W52" s="25">
        <f>1/2</f>
        <v>0.5</v>
      </c>
      <c r="X52" s="21">
        <f>1/2</f>
        <v>0.5</v>
      </c>
      <c r="Y52" s="20"/>
      <c r="Z52" s="20"/>
      <c r="AA52" s="21"/>
    </row>
    <row r="53" spans="1:27" x14ac:dyDescent="0.35">
      <c r="A53" s="5" t="s">
        <v>12</v>
      </c>
      <c r="B53" s="6" t="s">
        <v>16</v>
      </c>
      <c r="C53" s="6" t="s">
        <v>33</v>
      </c>
      <c r="D53" s="5" t="s">
        <v>63</v>
      </c>
      <c r="E53" s="4" t="s">
        <v>33</v>
      </c>
      <c r="F53" s="4" t="s">
        <v>16</v>
      </c>
      <c r="G53" s="5" t="s">
        <v>67</v>
      </c>
      <c r="H53" s="4" t="s">
        <v>16</v>
      </c>
      <c r="I53" s="4" t="s">
        <v>16</v>
      </c>
      <c r="J53" s="5" t="s">
        <v>17</v>
      </c>
      <c r="K53" s="6" t="s">
        <v>17</v>
      </c>
      <c r="L53" s="4" t="s">
        <v>16</v>
      </c>
      <c r="M53" s="5" t="s">
        <v>29</v>
      </c>
      <c r="O53" s="7" t="s">
        <v>12</v>
      </c>
      <c r="P53" s="20">
        <f>1/9</f>
        <v>0.1111111111111111</v>
      </c>
      <c r="Q53" s="20">
        <f>2/9</f>
        <v>0.22222222222222221</v>
      </c>
      <c r="R53" s="21">
        <f>6/9</f>
        <v>0.66666666666666663</v>
      </c>
      <c r="S53" s="26">
        <f>2/14</f>
        <v>0.14285714285714285</v>
      </c>
      <c r="T53" s="26">
        <f>1/14</f>
        <v>7.1428571428571425E-2</v>
      </c>
      <c r="U53" s="21">
        <f>11/14</f>
        <v>0.7857142857142857</v>
      </c>
      <c r="V53" s="26">
        <f>1/2</f>
        <v>0.5</v>
      </c>
      <c r="W53" s="25">
        <f>1/2</f>
        <v>0.5</v>
      </c>
      <c r="X53" s="21">
        <f>0/2</f>
        <v>0</v>
      </c>
      <c r="Y53" s="20">
        <f>0/4</f>
        <v>0</v>
      </c>
      <c r="Z53" s="25">
        <f>1/4</f>
        <v>0.25</v>
      </c>
      <c r="AA53" s="21">
        <f>3/4</f>
        <v>0.75</v>
      </c>
    </row>
    <row r="54" spans="1:27" x14ac:dyDescent="0.35">
      <c r="A54" s="5" t="s">
        <v>1</v>
      </c>
      <c r="B54" s="6" t="s">
        <v>17</v>
      </c>
      <c r="C54" s="6" t="s">
        <v>17</v>
      </c>
      <c r="D54" s="5" t="s">
        <v>17</v>
      </c>
      <c r="E54" s="6" t="s">
        <v>17</v>
      </c>
      <c r="F54" s="6" t="s">
        <v>17</v>
      </c>
      <c r="G54" s="5" t="s">
        <v>17</v>
      </c>
      <c r="H54" s="6" t="s">
        <v>17</v>
      </c>
      <c r="I54" s="6" t="s">
        <v>17</v>
      </c>
      <c r="J54" s="5" t="s">
        <v>17</v>
      </c>
      <c r="K54" s="6" t="s">
        <v>17</v>
      </c>
      <c r="L54" s="6" t="s">
        <v>17</v>
      </c>
      <c r="M54" s="5" t="s">
        <v>17</v>
      </c>
    </row>
    <row r="57" spans="1:27" ht="18.5" x14ac:dyDescent="0.45">
      <c r="A57" s="37" t="s">
        <v>92</v>
      </c>
    </row>
    <row r="60" spans="1:27" x14ac:dyDescent="0.35">
      <c r="A60" t="s">
        <v>13</v>
      </c>
      <c r="B60" s="11" t="s">
        <v>3</v>
      </c>
      <c r="C60" s="11" t="s">
        <v>4</v>
      </c>
      <c r="D60" s="12" t="s">
        <v>2</v>
      </c>
      <c r="E60" s="11" t="s">
        <v>3</v>
      </c>
      <c r="F60" s="11" t="s">
        <v>4</v>
      </c>
      <c r="G60" s="12" t="s">
        <v>2</v>
      </c>
      <c r="H60" s="11" t="s">
        <v>3</v>
      </c>
      <c r="I60" s="11" t="s">
        <v>4</v>
      </c>
      <c r="J60" s="12" t="s">
        <v>2</v>
      </c>
      <c r="K60" s="11" t="s">
        <v>3</v>
      </c>
      <c r="L60" s="11" t="s">
        <v>4</v>
      </c>
      <c r="M60" s="12" t="s">
        <v>2</v>
      </c>
    </row>
    <row r="61" spans="1:27" x14ac:dyDescent="0.35">
      <c r="A61" s="2"/>
      <c r="B61" s="43" t="s">
        <v>8</v>
      </c>
      <c r="C61" s="43"/>
      <c r="D61" s="43"/>
      <c r="E61" s="43" t="s">
        <v>8</v>
      </c>
      <c r="F61" s="43"/>
      <c r="G61" s="43"/>
      <c r="H61" s="43" t="s">
        <v>8</v>
      </c>
      <c r="I61" s="43"/>
      <c r="J61" s="43"/>
      <c r="K61" s="43" t="s">
        <v>8</v>
      </c>
      <c r="L61" s="43"/>
      <c r="M61" s="43"/>
    </row>
    <row r="62" spans="1:27" x14ac:dyDescent="0.35">
      <c r="A62" s="3" t="s">
        <v>5</v>
      </c>
      <c r="B62" s="40" t="s">
        <v>6</v>
      </c>
      <c r="C62" s="40"/>
      <c r="D62" s="40"/>
      <c r="E62" s="40" t="s">
        <v>14</v>
      </c>
      <c r="F62" s="40"/>
      <c r="G62" s="40"/>
      <c r="H62" s="40" t="s">
        <v>7</v>
      </c>
      <c r="I62" s="40"/>
      <c r="J62" s="40"/>
      <c r="K62" s="40" t="s">
        <v>0</v>
      </c>
      <c r="L62" s="40"/>
      <c r="M62" s="40"/>
    </row>
    <row r="63" spans="1:27" x14ac:dyDescent="0.35">
      <c r="A63" s="5" t="s">
        <v>11</v>
      </c>
      <c r="B63" s="6" t="s">
        <v>17</v>
      </c>
      <c r="C63" s="6" t="s">
        <v>56</v>
      </c>
      <c r="D63" s="5" t="s">
        <v>69</v>
      </c>
      <c r="E63" s="4" t="s">
        <v>69</v>
      </c>
      <c r="F63" s="4" t="s">
        <v>81</v>
      </c>
      <c r="G63" s="4" t="s">
        <v>19</v>
      </c>
      <c r="H63" s="13" t="s">
        <v>17</v>
      </c>
      <c r="I63" s="4" t="s">
        <v>29</v>
      </c>
      <c r="J63" s="5" t="s">
        <v>17</v>
      </c>
      <c r="K63" s="6" t="s">
        <v>17</v>
      </c>
      <c r="L63" s="6" t="s">
        <v>17</v>
      </c>
      <c r="M63" s="5" t="s">
        <v>17</v>
      </c>
    </row>
    <row r="64" spans="1:27" x14ac:dyDescent="0.35">
      <c r="A64" s="5" t="s">
        <v>10</v>
      </c>
      <c r="B64" s="6" t="s">
        <v>17</v>
      </c>
      <c r="C64" s="6" t="s">
        <v>17</v>
      </c>
      <c r="D64" s="5" t="s">
        <v>17</v>
      </c>
      <c r="E64" s="6" t="s">
        <v>17</v>
      </c>
      <c r="F64" s="6" t="s">
        <v>17</v>
      </c>
      <c r="G64" s="4" t="s">
        <v>22</v>
      </c>
      <c r="H64" s="13" t="s">
        <v>17</v>
      </c>
      <c r="I64" s="6" t="s">
        <v>17</v>
      </c>
      <c r="J64" s="5" t="s">
        <v>17</v>
      </c>
      <c r="K64" s="6" t="s">
        <v>17</v>
      </c>
      <c r="L64" s="6" t="s">
        <v>17</v>
      </c>
      <c r="M64" s="5" t="s">
        <v>17</v>
      </c>
    </row>
    <row r="65" spans="1:13" x14ac:dyDescent="0.35">
      <c r="A65" s="5" t="s">
        <v>12</v>
      </c>
      <c r="B65" s="6" t="s">
        <v>17</v>
      </c>
      <c r="C65" s="6" t="s">
        <v>17</v>
      </c>
      <c r="D65" s="5" t="s">
        <v>22</v>
      </c>
      <c r="E65" s="4" t="s">
        <v>22</v>
      </c>
      <c r="F65" s="4" t="s">
        <v>43</v>
      </c>
      <c r="G65" s="4" t="s">
        <v>16</v>
      </c>
      <c r="H65" s="13" t="s">
        <v>17</v>
      </c>
      <c r="I65" s="6" t="s">
        <v>17</v>
      </c>
      <c r="J65" s="5" t="s">
        <v>17</v>
      </c>
      <c r="K65" s="6" t="s">
        <v>17</v>
      </c>
      <c r="L65" s="6" t="s">
        <v>17</v>
      </c>
      <c r="M65" s="5" t="s">
        <v>17</v>
      </c>
    </row>
    <row r="66" spans="1:13" x14ac:dyDescent="0.35">
      <c r="A66" s="5" t="s">
        <v>1</v>
      </c>
      <c r="B66" s="6" t="s">
        <v>17</v>
      </c>
      <c r="C66" s="6" t="s">
        <v>17</v>
      </c>
      <c r="D66" s="5" t="s">
        <v>17</v>
      </c>
      <c r="E66" s="6" t="s">
        <v>17</v>
      </c>
      <c r="F66" s="6" t="s">
        <v>17</v>
      </c>
      <c r="G66" s="4" t="s">
        <v>17</v>
      </c>
      <c r="H66" s="13" t="s">
        <v>17</v>
      </c>
      <c r="I66" s="6" t="s">
        <v>17</v>
      </c>
      <c r="J66" s="5" t="s">
        <v>17</v>
      </c>
      <c r="K66" s="6" t="s">
        <v>17</v>
      </c>
      <c r="L66" s="6" t="s">
        <v>17</v>
      </c>
      <c r="M66" s="5" t="s">
        <v>17</v>
      </c>
    </row>
    <row r="67" spans="1:13" x14ac:dyDescent="0.35">
      <c r="A67" s="6"/>
    </row>
    <row r="68" spans="1:13" x14ac:dyDescent="0.35">
      <c r="A68" s="2"/>
      <c r="B68" s="43" t="s">
        <v>9</v>
      </c>
      <c r="C68" s="43"/>
      <c r="D68" s="43"/>
      <c r="E68" s="43" t="s">
        <v>9</v>
      </c>
      <c r="F68" s="43"/>
      <c r="G68" s="43"/>
      <c r="H68" s="43" t="s">
        <v>9</v>
      </c>
      <c r="I68" s="43"/>
      <c r="J68" s="43"/>
      <c r="K68" s="43" t="s">
        <v>9</v>
      </c>
      <c r="L68" s="43"/>
      <c r="M68" s="43"/>
    </row>
    <row r="69" spans="1:13" x14ac:dyDescent="0.35">
      <c r="A69" s="3" t="s">
        <v>5</v>
      </c>
      <c r="B69" s="40" t="s">
        <v>6</v>
      </c>
      <c r="C69" s="40"/>
      <c r="D69" s="40"/>
      <c r="E69" s="40" t="s">
        <v>14</v>
      </c>
      <c r="F69" s="40"/>
      <c r="G69" s="40"/>
      <c r="H69" s="40" t="s">
        <v>7</v>
      </c>
      <c r="I69" s="40"/>
      <c r="J69" s="40"/>
      <c r="K69" s="40" t="s">
        <v>0</v>
      </c>
      <c r="L69" s="40"/>
      <c r="M69" s="40"/>
    </row>
    <row r="70" spans="1:13" x14ac:dyDescent="0.35">
      <c r="A70" s="5" t="s">
        <v>11</v>
      </c>
      <c r="B70" s="6" t="s">
        <v>17</v>
      </c>
      <c r="C70" s="6" t="s">
        <v>33</v>
      </c>
      <c r="D70" s="5" t="s">
        <v>24</v>
      </c>
      <c r="E70" s="4" t="s">
        <v>33</v>
      </c>
      <c r="F70" s="4" t="s">
        <v>33</v>
      </c>
      <c r="G70" s="5" t="s">
        <v>28</v>
      </c>
      <c r="H70" s="6" t="s">
        <v>17</v>
      </c>
      <c r="I70" s="6" t="s">
        <v>17</v>
      </c>
      <c r="J70" s="5" t="s">
        <v>17</v>
      </c>
      <c r="K70" s="6" t="s">
        <v>17</v>
      </c>
      <c r="L70" s="6" t="s">
        <v>17</v>
      </c>
      <c r="M70" s="5" t="s">
        <v>17</v>
      </c>
    </row>
    <row r="71" spans="1:13" x14ac:dyDescent="0.35">
      <c r="A71" s="5" t="s">
        <v>10</v>
      </c>
      <c r="B71" s="6" t="s">
        <v>17</v>
      </c>
      <c r="C71" s="6" t="s">
        <v>16</v>
      </c>
      <c r="D71" s="5" t="s">
        <v>29</v>
      </c>
      <c r="E71" s="6" t="s">
        <v>17</v>
      </c>
      <c r="F71" s="6" t="s">
        <v>17</v>
      </c>
      <c r="G71" s="5" t="s">
        <v>22</v>
      </c>
      <c r="H71" s="4" t="s">
        <v>16</v>
      </c>
      <c r="I71" s="6" t="s">
        <v>17</v>
      </c>
      <c r="J71" s="5" t="s">
        <v>83</v>
      </c>
      <c r="K71" s="6" t="s">
        <v>17</v>
      </c>
      <c r="L71" s="6" t="s">
        <v>17</v>
      </c>
      <c r="M71" s="5" t="s">
        <v>17</v>
      </c>
    </row>
    <row r="72" spans="1:13" x14ac:dyDescent="0.35">
      <c r="A72" s="5" t="s">
        <v>12</v>
      </c>
      <c r="B72" s="6" t="s">
        <v>17</v>
      </c>
      <c r="C72" s="6" t="s">
        <v>17</v>
      </c>
      <c r="D72" s="5" t="s">
        <v>22</v>
      </c>
      <c r="E72" s="4" t="s">
        <v>16</v>
      </c>
      <c r="F72" s="4" t="s">
        <v>16</v>
      </c>
      <c r="G72" s="5" t="s">
        <v>15</v>
      </c>
      <c r="H72" s="6" t="s">
        <v>17</v>
      </c>
      <c r="I72" s="6" t="s">
        <v>17</v>
      </c>
      <c r="J72" s="5" t="s">
        <v>17</v>
      </c>
      <c r="K72" s="6" t="s">
        <v>17</v>
      </c>
      <c r="L72" s="6" t="s">
        <v>17</v>
      </c>
      <c r="M72" s="5" t="s">
        <v>17</v>
      </c>
    </row>
    <row r="73" spans="1:13" x14ac:dyDescent="0.35">
      <c r="A73" s="5" t="s">
        <v>1</v>
      </c>
      <c r="B73" s="6" t="s">
        <v>17</v>
      </c>
      <c r="C73" s="6" t="s">
        <v>17</v>
      </c>
      <c r="D73" s="5" t="s">
        <v>17</v>
      </c>
      <c r="E73" s="6" t="s">
        <v>17</v>
      </c>
      <c r="F73" s="6" t="s">
        <v>17</v>
      </c>
      <c r="G73" s="5" t="s">
        <v>17</v>
      </c>
      <c r="H73" s="6" t="s">
        <v>17</v>
      </c>
      <c r="I73" s="6" t="s">
        <v>17</v>
      </c>
      <c r="J73" s="5" t="s">
        <v>17</v>
      </c>
      <c r="K73" s="6" t="s">
        <v>17</v>
      </c>
      <c r="L73" s="6" t="s">
        <v>17</v>
      </c>
      <c r="M73" s="5" t="s">
        <v>17</v>
      </c>
    </row>
  </sheetData>
  <mergeCells count="112">
    <mergeCell ref="P42:R42"/>
    <mergeCell ref="S42:U42"/>
    <mergeCell ref="V42:X42"/>
    <mergeCell ref="Y42:AA42"/>
    <mergeCell ref="P49:R49"/>
    <mergeCell ref="S49:U49"/>
    <mergeCell ref="V49:X49"/>
    <mergeCell ref="Y49:AA49"/>
    <mergeCell ref="P50:R50"/>
    <mergeCell ref="S50:U50"/>
    <mergeCell ref="V50:X50"/>
    <mergeCell ref="Y50:AA50"/>
    <mergeCell ref="P43:R43"/>
    <mergeCell ref="S43:U43"/>
    <mergeCell ref="V43:X43"/>
    <mergeCell ref="Y43:AA43"/>
    <mergeCell ref="P30:R30"/>
    <mergeCell ref="S30:U30"/>
    <mergeCell ref="V30:X30"/>
    <mergeCell ref="Y30:AA30"/>
    <mergeCell ref="P31:R31"/>
    <mergeCell ref="S31:U31"/>
    <mergeCell ref="V31:X31"/>
    <mergeCell ref="Y31:AA31"/>
    <mergeCell ref="P23:R23"/>
    <mergeCell ref="S23:U23"/>
    <mergeCell ref="V23:X23"/>
    <mergeCell ref="Y23:AA23"/>
    <mergeCell ref="P24:R24"/>
    <mergeCell ref="S24:U24"/>
    <mergeCell ref="V24:X24"/>
    <mergeCell ref="Y24:AA24"/>
    <mergeCell ref="B68:D68"/>
    <mergeCell ref="E68:G68"/>
    <mergeCell ref="H68:J68"/>
    <mergeCell ref="K68:M68"/>
    <mergeCell ref="B69:D69"/>
    <mergeCell ref="E69:G69"/>
    <mergeCell ref="H69:J69"/>
    <mergeCell ref="K69:M69"/>
    <mergeCell ref="B61:D61"/>
    <mergeCell ref="E61:G61"/>
    <mergeCell ref="H61:J61"/>
    <mergeCell ref="K61:M61"/>
    <mergeCell ref="B62:D62"/>
    <mergeCell ref="E62:G62"/>
    <mergeCell ref="H62:J62"/>
    <mergeCell ref="K62:M62"/>
    <mergeCell ref="B49:D49"/>
    <mergeCell ref="E49:G49"/>
    <mergeCell ref="H49:J49"/>
    <mergeCell ref="K49:M49"/>
    <mergeCell ref="B50:D50"/>
    <mergeCell ref="E50:G50"/>
    <mergeCell ref="H50:J50"/>
    <mergeCell ref="K50:M50"/>
    <mergeCell ref="B42:D42"/>
    <mergeCell ref="E42:G42"/>
    <mergeCell ref="H42:J42"/>
    <mergeCell ref="K42:M42"/>
    <mergeCell ref="B43:D43"/>
    <mergeCell ref="E43:G43"/>
    <mergeCell ref="H43:J43"/>
    <mergeCell ref="K43:M43"/>
    <mergeCell ref="B30:D30"/>
    <mergeCell ref="E30:G30"/>
    <mergeCell ref="H30:J30"/>
    <mergeCell ref="K30:M30"/>
    <mergeCell ref="B31:D31"/>
    <mergeCell ref="E31:G31"/>
    <mergeCell ref="H31:J31"/>
    <mergeCell ref="K31:M31"/>
    <mergeCell ref="B23:D23"/>
    <mergeCell ref="E23:G23"/>
    <mergeCell ref="H23:J23"/>
    <mergeCell ref="K23:M23"/>
    <mergeCell ref="B24:D24"/>
    <mergeCell ref="E24:G24"/>
    <mergeCell ref="H24:J24"/>
    <mergeCell ref="K24:M24"/>
    <mergeCell ref="B11:D11"/>
    <mergeCell ref="E11:G11"/>
    <mergeCell ref="H11:J11"/>
    <mergeCell ref="K11:M11"/>
    <mergeCell ref="B12:D12"/>
    <mergeCell ref="E12:G12"/>
    <mergeCell ref="H12:J12"/>
    <mergeCell ref="K12:M12"/>
    <mergeCell ref="B4:D4"/>
    <mergeCell ref="E4:G4"/>
    <mergeCell ref="H4:J4"/>
    <mergeCell ref="K4:M4"/>
    <mergeCell ref="B5:D5"/>
    <mergeCell ref="E5:G5"/>
    <mergeCell ref="H5:J5"/>
    <mergeCell ref="K5:M5"/>
    <mergeCell ref="P12:R12"/>
    <mergeCell ref="S12:U12"/>
    <mergeCell ref="V12:X12"/>
    <mergeCell ref="Y12:AA12"/>
    <mergeCell ref="P4:R4"/>
    <mergeCell ref="S4:U4"/>
    <mergeCell ref="V4:X4"/>
    <mergeCell ref="Y4:AA4"/>
    <mergeCell ref="P5:R5"/>
    <mergeCell ref="S5:U5"/>
    <mergeCell ref="V5:X5"/>
    <mergeCell ref="Y5:AA5"/>
    <mergeCell ref="P11:R11"/>
    <mergeCell ref="S11:U11"/>
    <mergeCell ref="V11:X11"/>
    <mergeCell ref="Y11:AA11"/>
  </mergeCells>
  <pageMargins left="0.7" right="0.7" top="0.78740157499999996" bottom="0.78740157499999996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Harvest plot tables</vt:lpstr>
    </vt:vector>
  </TitlesOfParts>
  <Company>Klinikum der Universitaet Muenchen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annschne</dc:creator>
  <cp:lastModifiedBy>Anna</cp:lastModifiedBy>
  <cp:lastPrinted>2017-12-07T10:04:15Z</cp:lastPrinted>
  <dcterms:created xsi:type="dcterms:W3CDTF">2016-04-15T11:06:57Z</dcterms:created>
  <dcterms:modified xsi:type="dcterms:W3CDTF">2018-04-19T13:44:31Z</dcterms:modified>
</cp:coreProperties>
</file>