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wetka\Desktop\"/>
    </mc:Choice>
  </mc:AlternateContent>
  <bookViews>
    <workbookView xWindow="-15" yWindow="465" windowWidth="10020" windowHeight="4575" tabRatio="818"/>
  </bookViews>
  <sheets>
    <sheet name="Data by Patient" sheetId="55" r:id="rId1"/>
    <sheet name="Data by Physician" sheetId="56" r:id="rId2"/>
  </sheets>
  <definedNames>
    <definedName name="_xlnm._FilterDatabase" localSheetId="0" hidden="1">'Data by Patient'!$A$2:$BE$44</definedName>
  </definedNames>
  <calcPr calcId="152511"/>
</workbook>
</file>

<file path=xl/calcChain.xml><?xml version="1.0" encoding="utf-8"?>
<calcChain xmlns="http://schemas.openxmlformats.org/spreadsheetml/2006/main">
  <c r="AU49" i="55" l="1"/>
  <c r="AU47" i="55"/>
  <c r="AU51" i="55" s="1"/>
  <c r="AX51" i="55"/>
  <c r="AX49" i="55"/>
  <c r="AX47" i="55"/>
  <c r="BA47" i="55"/>
  <c r="BB47" i="55"/>
  <c r="BC47" i="55"/>
  <c r="AZ47" i="55"/>
  <c r="AX53" i="55" l="1"/>
  <c r="S47" i="55" l="1"/>
  <c r="R47" i="55"/>
  <c r="Q47" i="55"/>
  <c r="P47" i="55"/>
  <c r="O47" i="55"/>
  <c r="N47" i="55"/>
  <c r="M47" i="55"/>
  <c r="L47" i="55"/>
  <c r="K47" i="55"/>
  <c r="J47" i="55"/>
  <c r="I47" i="55"/>
  <c r="H47" i="55"/>
  <c r="G47" i="55"/>
  <c r="G51" i="55" s="1"/>
  <c r="G49" i="55"/>
  <c r="F49" i="55"/>
  <c r="F47" i="55"/>
  <c r="AT51" i="55"/>
  <c r="AV51" i="55"/>
  <c r="AV47" i="55"/>
  <c r="AM49" i="55"/>
  <c r="AM47" i="55"/>
  <c r="F51" i="55" l="1"/>
  <c r="AM51" i="55"/>
  <c r="R24" i="56" l="1"/>
  <c r="R22" i="56"/>
  <c r="Q24" i="56"/>
  <c r="Q22" i="56"/>
  <c r="Q26" i="56" s="1"/>
  <c r="P24" i="56"/>
  <c r="P22" i="56"/>
  <c r="O24" i="56"/>
  <c r="O22" i="56"/>
  <c r="O26" i="56" s="1"/>
  <c r="N24" i="56"/>
  <c r="N22" i="56"/>
  <c r="M24" i="56"/>
  <c r="M22" i="56"/>
  <c r="M26" i="56" s="1"/>
  <c r="L24" i="56"/>
  <c r="L22" i="56"/>
  <c r="K24" i="56"/>
  <c r="K22" i="56"/>
  <c r="K26" i="56" s="1"/>
  <c r="J24" i="56"/>
  <c r="J22" i="56"/>
  <c r="I24" i="56"/>
  <c r="I22" i="56"/>
  <c r="I26" i="56" s="1"/>
  <c r="J26" i="56" l="1"/>
  <c r="L26" i="56"/>
  <c r="N26" i="56"/>
  <c r="P26" i="56"/>
  <c r="R26" i="56"/>
  <c r="AW49" i="55"/>
  <c r="AW47" i="55"/>
  <c r="AL49" i="55"/>
  <c r="AL47" i="55"/>
  <c r="AQ49" i="55"/>
  <c r="AQ47" i="55"/>
  <c r="AR51" i="55"/>
  <c r="AR49" i="55"/>
  <c r="AR47" i="55"/>
  <c r="AS49" i="55"/>
  <c r="AS47" i="55"/>
  <c r="H24" i="56"/>
  <c r="H22" i="56"/>
  <c r="F38" i="56"/>
  <c r="F36" i="56"/>
  <c r="F34" i="56"/>
  <c r="F32" i="56"/>
  <c r="F30" i="56"/>
  <c r="G28" i="56"/>
  <c r="F28" i="56"/>
  <c r="D28" i="56"/>
  <c r="G26" i="56"/>
  <c r="F26" i="56"/>
  <c r="D26" i="56"/>
  <c r="G24" i="56"/>
  <c r="F24" i="56"/>
  <c r="E24" i="56"/>
  <c r="D24" i="56"/>
  <c r="G22" i="56"/>
  <c r="F22" i="56"/>
  <c r="E22" i="56"/>
  <c r="E26" i="56" s="1"/>
  <c r="D22" i="56"/>
  <c r="AS51" i="55" l="1"/>
  <c r="AQ51" i="55"/>
  <c r="AW51" i="55"/>
  <c r="AR53" i="55"/>
  <c r="AL51" i="55"/>
  <c r="H26" i="56"/>
  <c r="D30" i="56"/>
  <c r="F40" i="56"/>
  <c r="D47" i="55" l="1"/>
  <c r="D49" i="55"/>
  <c r="D51" i="55"/>
  <c r="D53" i="55"/>
  <c r="W63" i="55"/>
  <c r="W61" i="55"/>
  <c r="W59" i="55"/>
  <c r="W57" i="55"/>
  <c r="W55" i="55"/>
  <c r="U53" i="55"/>
  <c r="AV53" i="55"/>
  <c r="W53" i="55"/>
  <c r="U51" i="55"/>
  <c r="AK51" i="55"/>
  <c r="AY51" i="55"/>
  <c r="W51" i="55"/>
  <c r="E51" i="55"/>
  <c r="AK49" i="55"/>
  <c r="AY49" i="55"/>
  <c r="AV49" i="55"/>
  <c r="AT49" i="55"/>
  <c r="Y49" i="55"/>
  <c r="X49" i="55"/>
  <c r="W49" i="55"/>
  <c r="V49" i="55"/>
  <c r="U49" i="55"/>
  <c r="E49" i="55"/>
  <c r="C49" i="55"/>
  <c r="AK47" i="55"/>
  <c r="AY47" i="55"/>
  <c r="AT47" i="55"/>
  <c r="AP47" i="55"/>
  <c r="AO47" i="55"/>
  <c r="AN47" i="55"/>
  <c r="Y47" i="55"/>
  <c r="X47" i="55"/>
  <c r="W47" i="55"/>
  <c r="V47" i="55"/>
  <c r="U47" i="55"/>
  <c r="E47" i="55"/>
  <c r="C47" i="55"/>
  <c r="AH61" i="55"/>
  <c r="AI67" i="55"/>
  <c r="AG47" i="55"/>
  <c r="Z49" i="55"/>
  <c r="AT53" i="55" l="1"/>
  <c r="D55" i="55"/>
  <c r="X51" i="55"/>
  <c r="V51" i="55"/>
  <c r="C51" i="55"/>
  <c r="Y51" i="55"/>
  <c r="AK53" i="55"/>
  <c r="AK55" i="55" s="1"/>
  <c r="AV55" i="55"/>
  <c r="AY53" i="55"/>
  <c r="U55" i="55"/>
  <c r="AB49" i="55"/>
  <c r="AB47" i="55"/>
  <c r="AC51" i="55"/>
  <c r="AC47" i="55"/>
  <c r="AH49" i="55"/>
  <c r="AD51" i="55"/>
  <c r="AD47" i="55"/>
  <c r="AD49" i="55"/>
  <c r="AH67" i="55"/>
  <c r="AH55" i="55"/>
  <c r="AH57" i="55"/>
  <c r="AH51" i="55"/>
  <c r="AH47" i="55"/>
  <c r="AH53" i="55"/>
  <c r="Z47" i="55"/>
  <c r="AG65" i="55"/>
  <c r="AG63" i="55"/>
  <c r="AG61" i="55"/>
  <c r="AG59" i="55"/>
  <c r="AG53" i="55"/>
  <c r="AG67" i="55"/>
  <c r="AG55" i="55"/>
  <c r="AG49" i="55"/>
  <c r="AG57" i="55"/>
  <c r="AE47" i="55"/>
  <c r="AE49" i="55"/>
  <c r="AI57" i="55"/>
  <c r="AI53" i="55"/>
  <c r="AI49" i="55"/>
  <c r="AI65" i="55"/>
  <c r="AI63" i="55"/>
  <c r="AI61" i="55"/>
  <c r="AI59" i="55"/>
  <c r="W65" i="55"/>
  <c r="AB51" i="55"/>
  <c r="AI51" i="55"/>
  <c r="AH59" i="55"/>
  <c r="AH63" i="55"/>
  <c r="Z51" i="55"/>
  <c r="AF51" i="55"/>
  <c r="AF47" i="55"/>
  <c r="AF49" i="55"/>
  <c r="AJ49" i="55"/>
  <c r="AJ51" i="55"/>
  <c r="AJ47" i="55"/>
  <c r="AI47" i="55"/>
  <c r="AC49" i="55"/>
  <c r="AE51" i="55"/>
  <c r="AG51" i="55"/>
  <c r="AI55" i="55"/>
  <c r="AH65" i="55"/>
  <c r="AK57" i="55" l="1"/>
  <c r="AI69" i="55"/>
  <c r="AI74" i="55"/>
  <c r="AH71" i="55"/>
  <c r="AD53" i="55"/>
  <c r="AD55" i="55" s="1"/>
  <c r="AH74" i="55"/>
  <c r="AH69" i="55"/>
  <c r="AG71" i="55"/>
  <c r="AA51" i="55"/>
  <c r="AA49" i="55"/>
  <c r="AA47" i="55"/>
  <c r="AB53" i="55"/>
  <c r="AB55" i="55" s="1"/>
  <c r="AF53" i="55"/>
  <c r="AF55" i="55" s="1"/>
  <c r="AI71" i="55"/>
  <c r="Z53" i="55"/>
  <c r="Z55" i="55" s="1"/>
  <c r="AC53" i="55"/>
  <c r="AC57" i="55" s="1"/>
  <c r="AJ53" i="55"/>
  <c r="AJ55" i="55" s="1"/>
  <c r="AE53" i="55"/>
  <c r="AE57" i="55" s="1"/>
  <c r="AG74" i="55"/>
  <c r="AG69" i="55"/>
  <c r="AC55" i="55" l="1"/>
  <c r="AI72" i="55"/>
  <c r="AF57" i="55"/>
  <c r="AD57" i="55"/>
  <c r="AE55" i="55"/>
  <c r="AJ57" i="55"/>
  <c r="Z57" i="55"/>
  <c r="AA53" i="55"/>
  <c r="AA55" i="55" s="1"/>
  <c r="AH75" i="55"/>
  <c r="AI75" i="55"/>
  <c r="AH72" i="55"/>
  <c r="AG75" i="55"/>
  <c r="AB57" i="55"/>
  <c r="AG72" i="55"/>
  <c r="AA57" i="55" l="1"/>
</calcChain>
</file>

<file path=xl/comments1.xml><?xml version="1.0" encoding="utf-8"?>
<comments xmlns="http://schemas.openxmlformats.org/spreadsheetml/2006/main">
  <authors>
    <author>hillje</author>
  </authors>
  <commentList>
    <comment ref="AY48" authorId="0" shapeId="0">
      <text>
        <r>
          <rPr>
            <b/>
            <sz val="12"/>
            <color indexed="81"/>
            <rFont val="Tahoma"/>
            <family val="2"/>
          </rPr>
          <t>hillje:</t>
        </r>
        <r>
          <rPr>
            <sz val="12"/>
            <color indexed="81"/>
            <rFont val="Tahoma"/>
            <family val="2"/>
          </rPr>
          <t xml:space="preserve">
hillje:
9 of the 14 patients who "sometimes skip/forget" to take their medications did not reveal this information until repeated follow-ups; an additional 4 unique patients who "stopped taking meds without MD instruction" only revealed this information with the follow-up question; a total of 13 unique patients initially reported being adherent out of the 18 who stopped/skipped doses</t>
        </r>
      </text>
    </comment>
  </commentList>
</comments>
</file>

<file path=xl/sharedStrings.xml><?xml version="1.0" encoding="utf-8"?>
<sst xmlns="http://schemas.openxmlformats.org/spreadsheetml/2006/main" count="1530" uniqueCount="147">
  <si>
    <t>n/a</t>
  </si>
  <si>
    <t>Yes</t>
  </si>
  <si>
    <t>No</t>
  </si>
  <si>
    <t>PT #</t>
  </si>
  <si>
    <t>PT Initials</t>
  </si>
  <si>
    <t>PT Gender</t>
  </si>
  <si>
    <t>PT Ethnicity</t>
  </si>
  <si>
    <t>PT Age</t>
  </si>
  <si>
    <t>MD Initials</t>
  </si>
  <si>
    <t>MD Specialty</t>
  </si>
  <si>
    <t>MD Gender</t>
  </si>
  <si>
    <t>State</t>
  </si>
  <si>
    <t>Patient has urge incontinence or a mix of urge and stress incontinence</t>
  </si>
  <si>
    <t>Patient is New OAB patient (Dx w/in 6 months) or Established (Dx 6 months or more ago)</t>
  </si>
  <si>
    <t>F</t>
  </si>
  <si>
    <t>Caucasian</t>
  </si>
  <si>
    <t>PCP</t>
  </si>
  <si>
    <t>M</t>
  </si>
  <si>
    <t>CA</t>
  </si>
  <si>
    <t>Mixed</t>
  </si>
  <si>
    <t>New</t>
  </si>
  <si>
    <t>Established</t>
  </si>
  <si>
    <t>African-American</t>
  </si>
  <si>
    <t>Urge</t>
  </si>
  <si>
    <t>GYN</t>
  </si>
  <si>
    <t>Asian</t>
  </si>
  <si>
    <t>TX</t>
  </si>
  <si>
    <t>Hispanic</t>
  </si>
  <si>
    <t>IL</t>
  </si>
  <si>
    <t>URO</t>
  </si>
  <si>
    <t>URO/GYN</t>
  </si>
  <si>
    <t>NJ</t>
  </si>
  <si>
    <t>NY</t>
  </si>
  <si>
    <t>FL</t>
  </si>
  <si>
    <t>F/F</t>
  </si>
  <si>
    <t>MI</t>
  </si>
  <si>
    <t>SC</t>
  </si>
  <si>
    <t>OH</t>
  </si>
  <si>
    <t>N/A</t>
  </si>
  <si>
    <t>Male</t>
  </si>
  <si>
    <t>Aver</t>
  </si>
  <si>
    <t>Female</t>
  </si>
  <si>
    <t>Min</t>
  </si>
  <si>
    <t>Total</t>
  </si>
  <si>
    <t>Max</t>
  </si>
  <si>
    <t>Physician</t>
  </si>
  <si>
    <t>yes</t>
  </si>
  <si>
    <t>% Ask</t>
  </si>
  <si>
    <t># Successful Sequences</t>
  </si>
  <si>
    <t>% Successful Sequences</t>
  </si>
  <si>
    <t>Any Second Ask</t>
  </si>
  <si>
    <t>Partially</t>
  </si>
  <si>
    <t>Extremely satisfied</t>
  </si>
  <si>
    <t>Satisfied</t>
  </si>
  <si>
    <t>Unsatisfied</t>
  </si>
  <si>
    <t>Extremely Satisfied</t>
  </si>
  <si>
    <t>Average</t>
  </si>
  <si>
    <t xml:space="preserve">#ATA includes open-ended </t>
  </si>
  <si>
    <t>Who brings up QoL?</t>
  </si>
  <si>
    <t>Patient</t>
  </si>
  <si>
    <t>Sometimes skip/forget</t>
  </si>
  <si>
    <t>Taken as directed</t>
  </si>
  <si>
    <t>OTHER; Patient plans to take medication directed</t>
  </si>
  <si>
    <t>OTHER; Patient does not take medication, dietary changes only</t>
  </si>
  <si>
    <t>OTHER; Patient does not take medication, stimulator used to control bladder</t>
  </si>
  <si>
    <t>OTHER; Patient does not take medication</t>
  </si>
  <si>
    <t>Taken As Directed</t>
  </si>
  <si>
    <t>Sometimes Skip/Forget</t>
  </si>
  <si>
    <t>OTHER</t>
  </si>
  <si>
    <t>#ATA includes successful sequence</t>
  </si>
  <si>
    <t>% patient elaborated</t>
  </si>
  <si>
    <t>Insurance coverage</t>
  </si>
  <si>
    <t>Prescription coverage</t>
  </si>
  <si>
    <t>MD #</t>
  </si>
  <si>
    <t>City/State</t>
  </si>
  <si>
    <t>Number of years in practice</t>
  </si>
  <si>
    <t>% Open-ended</t>
  </si>
  <si>
    <t>Did MD ask any open-ended questions</t>
  </si>
  <si>
    <t>Did MD use any successful ask sequences</t>
  </si>
  <si>
    <t>Did MD use any ask-tell-ask sequences</t>
  </si>
  <si>
    <t>Did MD use any ask-tell sequences</t>
  </si>
  <si>
    <t>Did MD use any ask-tell-ask sequences with an open-ended question</t>
  </si>
  <si>
    <t>Did MD use any ask-tell-ask sequences with a successful ask sequence</t>
  </si>
  <si>
    <t>Did MD make any treatment changes</t>
  </si>
  <si>
    <t>Did MD allay concerns during any visits</t>
  </si>
  <si>
    <t>Did MD discuss quality of life during any visits</t>
  </si>
  <si>
    <t>Did MD bring up QOL in any visits</t>
  </si>
  <si>
    <t>Did MD bring up adherence in any visits</t>
  </si>
  <si>
    <t>Is adherence discussed in visit?</t>
  </si>
  <si>
    <t>Is quality of life discussed in visit?</t>
  </si>
  <si>
    <t>Are side effects of OAB meds discussed in visit?</t>
  </si>
  <si>
    <t>Does MD allay concerns about side effects of treatment?</t>
  </si>
  <si>
    <t xml:space="preserve">% Closed-ended </t>
  </si>
  <si>
    <t>#Ask-tell-ask</t>
  </si>
  <si>
    <t>#Ask-tell</t>
  </si>
  <si>
    <t>#Tell-ask</t>
  </si>
  <si>
    <t>Are changes made to treatment during visit?</t>
  </si>
  <si>
    <t>Extremely satisfied with current medication</t>
  </si>
  <si>
    <t>Satisfied with current medication</t>
  </si>
  <si>
    <t>Unsatisfied with current medication</t>
  </si>
  <si>
    <t>Patient Satisfaction (Patient Questionnaire)</t>
  </si>
  <si>
    <t>Linguistic Data (Visit)</t>
  </si>
  <si>
    <t>Concerns about Tx (Visit)</t>
  </si>
  <si>
    <t>QOL (Visit + post-visit interviews)</t>
  </si>
  <si>
    <t>Adherence (Visit + post-visit interviews)</t>
  </si>
  <si>
    <t xml:space="preserve">Are Patients and Physicians aligned on QOL impacts? </t>
  </si>
  <si>
    <t>⁭This is my first visit</t>
  </si>
  <si>
    <t>Less than 1 year</t>
  </si>
  <si>
    <t>Between 1 and 3 years</t>
  </si>
  <si>
    <t>Between 3 and 5 years</t>
  </si>
  <si>
    <t>More than 5 years</t>
  </si>
  <si>
    <t>Length of MD-PT relationship: Less than 1 year</t>
  </si>
  <si>
    <t>Length of MD-PT relationship: This is my first visit</t>
  </si>
  <si>
    <t>Length of MD-PT relationship: Between 1 and 3 years</t>
  </si>
  <si>
    <t>Length of MD-PT relationship: Between 3 and 5 years</t>
  </si>
  <si>
    <t>Length of MD-PT relationship: More than 5 years</t>
  </si>
  <si>
    <t>This is my first visit</t>
  </si>
  <si>
    <t>More than once per month</t>
  </si>
  <si>
    <t>Once per month</t>
  </si>
  <si>
    <t>Every 2-3 months</t>
  </si>
  <si>
    <t>Every 4 months</t>
  </si>
  <si>
    <t>Every 6 months</t>
  </si>
  <si>
    <t>Other (please specify)</t>
  </si>
  <si>
    <t>Only saw once, other</t>
  </si>
  <si>
    <t>once a year, other</t>
  </si>
  <si>
    <t>Last saw 4/2011, other</t>
  </si>
  <si>
    <t>2nd visit, other</t>
  </si>
  <si>
    <t>When ever I can see him, other</t>
  </si>
  <si>
    <t>About once a year, other</t>
  </si>
  <si>
    <t>last 13 weeks, every week "for stimulator", other</t>
  </si>
  <si>
    <t>Visit frequency: This is my first visit</t>
  </si>
  <si>
    <t>Visit frequency: More than once per month</t>
  </si>
  <si>
    <t>Visit frequency: Once per month</t>
  </si>
  <si>
    <t>Visit frequency: Every 2-3 months</t>
  </si>
  <si>
    <t>Visit frequency: Every 4 months</t>
  </si>
  <si>
    <t>Visit frequency: Every 6 months</t>
  </si>
  <si>
    <t>Visit frequency: Other (please specify)</t>
  </si>
  <si>
    <t>Patient Demographics</t>
  </si>
  <si>
    <t xml:space="preserve">Is patient currently using medication for OAB? </t>
  </si>
  <si>
    <t>Is QoL impact significant? (PT interview)</t>
  </si>
  <si>
    <t xml:space="preserve"> How often does patient take medication? (Patient Interview)</t>
  </si>
  <si>
    <t>S/he always follow recommendations faithfully</t>
  </si>
  <si>
    <t>S/he sometimes follows my recommendations</t>
  </si>
  <si>
    <t>S/he sometimes follows my recommendations but only after s/he does their own research</t>
  </si>
  <si>
    <t>S/he hardly ever follows recommendations</t>
  </si>
  <si>
    <t>Which of these best describes this patient’s habits with regard to following treatment recommendations? (MD questionnaire)</t>
  </si>
  <si>
    <t>MD-PT alignment on Adherence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</si>
</sst>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/>
    <xf numFmtId="0" fontId="3" fillId="0" borderId="1" xfId="0" applyFont="1" applyFill="1" applyBorder="1"/>
    <xf numFmtId="164" fontId="3" fillId="0" borderId="1" xfId="1" applyNumberFormat="1" applyFont="1" applyFill="1" applyBorder="1"/>
    <xf numFmtId="9" fontId="3" fillId="0" borderId="1" xfId="2" applyNumberFormat="1" applyFont="1" applyFill="1" applyBorder="1"/>
    <xf numFmtId="0" fontId="3" fillId="0" borderId="1" xfId="2" applyFont="1" applyFill="1" applyBorder="1"/>
    <xf numFmtId="164" fontId="3" fillId="0" borderId="1" xfId="2" applyNumberFormat="1" applyFont="1" applyFill="1" applyBorder="1"/>
    <xf numFmtId="164" fontId="3" fillId="0" borderId="0" xfId="1" applyNumberFormat="1" applyFont="1"/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" fontId="3" fillId="0" borderId="17" xfId="0" applyNumberFormat="1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9" fontId="3" fillId="0" borderId="0" xfId="1" applyFont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1" fontId="3" fillId="0" borderId="16" xfId="0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6" fillId="0" borderId="1" xfId="2" applyFill="1" applyBorder="1" applyAlignment="1">
      <alignment horizontal="center"/>
    </xf>
    <xf numFmtId="0" fontId="6" fillId="0" borderId="8" xfId="2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22" xfId="0" applyBorder="1"/>
    <xf numFmtId="0" fontId="0" fillId="0" borderId="1" xfId="0" applyBorder="1" applyAlignment="1">
      <alignment horizontal="right" vertical="top"/>
    </xf>
    <xf numFmtId="0" fontId="0" fillId="0" borderId="22" xfId="0" applyBorder="1" applyAlignment="1"/>
    <xf numFmtId="0" fontId="0" fillId="0" borderId="1" xfId="0" applyBorder="1" applyAlignment="1"/>
    <xf numFmtId="0" fontId="0" fillId="0" borderId="22" xfId="0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wrapText="1"/>
    </xf>
    <xf numFmtId="10" fontId="3" fillId="0" borderId="5" xfId="0" applyNumberFormat="1" applyFont="1" applyFill="1" applyBorder="1"/>
    <xf numFmtId="0" fontId="3" fillId="0" borderId="6" xfId="0" applyFont="1" applyFill="1" applyBorder="1"/>
    <xf numFmtId="10" fontId="3" fillId="0" borderId="5" xfId="2" applyNumberFormat="1" applyFont="1" applyFill="1" applyBorder="1"/>
    <xf numFmtId="0" fontId="3" fillId="0" borderId="6" xfId="2" applyFont="1" applyFill="1" applyBorder="1"/>
    <xf numFmtId="10" fontId="3" fillId="0" borderId="7" xfId="0" applyNumberFormat="1" applyFont="1" applyFill="1" applyBorder="1"/>
    <xf numFmtId="9" fontId="3" fillId="0" borderId="8" xfId="0" applyNumberFormat="1" applyFont="1" applyFill="1" applyBorder="1"/>
    <xf numFmtId="0" fontId="3" fillId="0" borderId="8" xfId="0" applyFont="1" applyFill="1" applyBorder="1"/>
    <xf numFmtId="164" fontId="3" fillId="0" borderId="8" xfId="1" applyNumberFormat="1" applyFont="1" applyFill="1" applyBorder="1"/>
    <xf numFmtId="0" fontId="3" fillId="0" borderId="9" xfId="2" applyFont="1" applyFill="1" applyBorder="1"/>
    <xf numFmtId="9" fontId="3" fillId="0" borderId="16" xfId="0" applyNumberFormat="1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9" fontId="3" fillId="0" borderId="16" xfId="1" applyFont="1" applyBorder="1" applyAlignment="1">
      <alignment horizontal="center"/>
    </xf>
    <xf numFmtId="9" fontId="3" fillId="0" borderId="20" xfId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9" fontId="3" fillId="0" borderId="15" xfId="1" applyFont="1" applyBorder="1" applyAlignment="1">
      <alignment horizontal="center"/>
    </xf>
    <xf numFmtId="9" fontId="3" fillId="0" borderId="18" xfId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3" xfId="0" applyFont="1" applyFill="1" applyBorder="1"/>
    <xf numFmtId="0" fontId="0" fillId="0" borderId="21" xfId="0" applyBorder="1"/>
    <xf numFmtId="0" fontId="1" fillId="0" borderId="12" xfId="0" applyFont="1" applyFill="1" applyBorder="1" applyAlignment="1"/>
    <xf numFmtId="0" fontId="1" fillId="0" borderId="23" xfId="0" applyFont="1" applyFill="1" applyBorder="1" applyAlignment="1"/>
    <xf numFmtId="0" fontId="0" fillId="0" borderId="18" xfId="0" applyBorder="1" applyAlignment="1"/>
    <xf numFmtId="0" fontId="0" fillId="0" borderId="21" xfId="0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4" xfId="0" applyFont="1" applyFill="1" applyBorder="1" applyAlignment="1"/>
    <xf numFmtId="0" fontId="0" fillId="0" borderId="19" xfId="0" applyBorder="1" applyAlignment="1"/>
    <xf numFmtId="0" fontId="1" fillId="2" borderId="8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3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/>
    </xf>
  </cellXfs>
  <cellStyles count="4">
    <cellStyle name="Bad" xfId="3" builtinId="27"/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714F"/>
      <color rgb="FFFC64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75"/>
  <sheetViews>
    <sheetView tabSelected="1" zoomScale="80" zoomScaleNormal="80" workbookViewId="0">
      <pane xSplit="2" ySplit="2" topLeftCell="C42" activePane="bottomRight" state="frozen"/>
      <selection pane="topRight" activeCell="C1" sqref="C1"/>
      <selection pane="bottomLeft" activeCell="A2" sqref="A2"/>
      <selection pane="bottomRight" activeCell="AU55" sqref="AU55"/>
    </sheetView>
  </sheetViews>
  <sheetFormatPr defaultRowHeight="15" x14ac:dyDescent="0.25"/>
  <cols>
    <col min="1" max="1" width="4.5703125" style="47" bestFit="1" customWidth="1"/>
    <col min="2" max="2" width="7" style="47" bestFit="1" customWidth="1"/>
    <col min="3" max="3" width="7.7109375" style="47" bestFit="1" customWidth="1"/>
    <col min="4" max="4" width="17.85546875" style="47" customWidth="1"/>
    <col min="5" max="5" width="5.85546875" style="47" customWidth="1"/>
    <col min="6" max="6" width="10.28515625" style="47" customWidth="1"/>
    <col min="7" max="7" width="11.5703125" style="47" customWidth="1"/>
    <col min="8" max="8" width="22" style="77" bestFit="1" customWidth="1"/>
    <col min="9" max="9" width="21.28515625" style="77" bestFit="1" customWidth="1"/>
    <col min="10" max="11" width="23.5703125" style="77" bestFit="1" customWidth="1"/>
    <col min="12" max="12" width="22.140625" style="77" bestFit="1" customWidth="1"/>
    <col min="13" max="17" width="22.140625" style="77" customWidth="1"/>
    <col min="18" max="18" width="17.140625" style="77" customWidth="1"/>
    <col min="19" max="19" width="49.5703125" style="77" bestFit="1" customWidth="1"/>
    <col min="20" max="21" width="10.140625" style="47" customWidth="1"/>
    <col min="22" max="22" width="7.7109375" style="47" bestFit="1" customWidth="1"/>
    <col min="23" max="23" width="5.85546875" style="47" bestFit="1" customWidth="1"/>
    <col min="24" max="24" width="21" style="47" customWidth="1"/>
    <col min="25" max="25" width="26" style="47" customWidth="1"/>
    <col min="26" max="27" width="10" style="3" customWidth="1"/>
    <col min="28" max="28" width="10.7109375" style="3" customWidth="1"/>
    <col min="29" max="29" width="11.7109375" style="3" customWidth="1"/>
    <col min="30" max="30" width="13.42578125" style="39" customWidth="1"/>
    <col min="31" max="31" width="11.28515625" style="39" customWidth="1"/>
    <col min="32" max="32" width="11.140625" style="3" customWidth="1"/>
    <col min="33" max="35" width="9.140625" style="3"/>
    <col min="36" max="36" width="13.5703125" style="3" customWidth="1"/>
    <col min="37" max="37" width="13.7109375" style="3" customWidth="1"/>
    <col min="38" max="38" width="17.42578125" style="42" customWidth="1"/>
    <col min="39" max="39" width="18.42578125" style="42" customWidth="1"/>
    <col min="40" max="40" width="20.140625" style="42" customWidth="1"/>
    <col min="41" max="41" width="12.85546875" style="42" bestFit="1" customWidth="1"/>
    <col min="42" max="42" width="12.5703125" style="42" customWidth="1"/>
    <col min="43" max="43" width="18.7109375" style="3" customWidth="1"/>
    <col min="44" max="44" width="21.140625" style="3" customWidth="1"/>
    <col min="45" max="45" width="13.5703125" style="3" customWidth="1"/>
    <col min="46" max="46" width="12.140625" style="3" customWidth="1"/>
    <col min="47" max="47" width="14.5703125" style="4" customWidth="1"/>
    <col min="48" max="48" width="21.28515625" style="3" customWidth="1"/>
    <col min="49" max="50" width="14.7109375" style="3" customWidth="1"/>
    <col min="51" max="51" width="43.140625" style="47" customWidth="1"/>
    <col min="52" max="52" width="21.140625" style="42" customWidth="1"/>
    <col min="53" max="53" width="23" style="42" customWidth="1"/>
    <col min="54" max="54" width="29.42578125" style="42" customWidth="1"/>
    <col min="55" max="55" width="40.140625" style="42" customWidth="1"/>
    <col min="56" max="16384" width="9.140625" style="3"/>
  </cols>
  <sheetData>
    <row r="1" spans="1:55" ht="15.75" thickBot="1" x14ac:dyDescent="0.3">
      <c r="A1" s="155" t="s">
        <v>137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7"/>
      <c r="Z1" s="152" t="s">
        <v>101</v>
      </c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4"/>
      <c r="AM1" s="152" t="s">
        <v>100</v>
      </c>
      <c r="AN1" s="153"/>
      <c r="AO1" s="153"/>
      <c r="AP1" s="154"/>
      <c r="AQ1" s="152" t="s">
        <v>102</v>
      </c>
      <c r="AR1" s="154"/>
      <c r="AS1" s="152" t="s">
        <v>103</v>
      </c>
      <c r="AT1" s="153"/>
      <c r="AU1" s="158"/>
      <c r="AV1" s="154"/>
      <c r="AW1" s="152" t="s">
        <v>104</v>
      </c>
      <c r="AX1" s="153"/>
      <c r="AY1" s="154"/>
      <c r="AZ1" s="151" t="s">
        <v>145</v>
      </c>
      <c r="BA1" s="151"/>
      <c r="BB1" s="151"/>
      <c r="BC1" s="151"/>
    </row>
    <row r="2" spans="1:55" s="146" customFormat="1" ht="60.75" thickBot="1" x14ac:dyDescent="0.3">
      <c r="A2" s="66" t="s">
        <v>3</v>
      </c>
      <c r="B2" s="67" t="s">
        <v>4</v>
      </c>
      <c r="C2" s="67" t="s">
        <v>5</v>
      </c>
      <c r="D2" s="67" t="s">
        <v>6</v>
      </c>
      <c r="E2" s="67" t="s">
        <v>7</v>
      </c>
      <c r="F2" s="67" t="s">
        <v>71</v>
      </c>
      <c r="G2" s="67" t="s">
        <v>72</v>
      </c>
      <c r="H2" s="138" t="s">
        <v>112</v>
      </c>
      <c r="I2" s="138" t="s">
        <v>111</v>
      </c>
      <c r="J2" s="138" t="s">
        <v>113</v>
      </c>
      <c r="K2" s="138" t="s">
        <v>114</v>
      </c>
      <c r="L2" s="138" t="s">
        <v>115</v>
      </c>
      <c r="M2" s="138" t="s">
        <v>130</v>
      </c>
      <c r="N2" s="138" t="s">
        <v>131</v>
      </c>
      <c r="O2" s="138" t="s">
        <v>132</v>
      </c>
      <c r="P2" s="138" t="s">
        <v>133</v>
      </c>
      <c r="Q2" s="138" t="s">
        <v>134</v>
      </c>
      <c r="R2" s="138" t="s">
        <v>135</v>
      </c>
      <c r="S2" s="138" t="s">
        <v>136</v>
      </c>
      <c r="T2" s="67" t="s">
        <v>8</v>
      </c>
      <c r="U2" s="67" t="s">
        <v>9</v>
      </c>
      <c r="V2" s="67" t="s">
        <v>10</v>
      </c>
      <c r="W2" s="67" t="s">
        <v>11</v>
      </c>
      <c r="X2" s="67" t="s">
        <v>12</v>
      </c>
      <c r="Y2" s="68" t="s">
        <v>13</v>
      </c>
      <c r="Z2" s="66" t="s">
        <v>47</v>
      </c>
      <c r="AA2" s="67" t="s">
        <v>76</v>
      </c>
      <c r="AB2" s="67" t="s">
        <v>92</v>
      </c>
      <c r="AC2" s="67" t="s">
        <v>48</v>
      </c>
      <c r="AD2" s="93" t="s">
        <v>49</v>
      </c>
      <c r="AE2" s="93" t="s">
        <v>70</v>
      </c>
      <c r="AF2" s="67" t="s">
        <v>50</v>
      </c>
      <c r="AG2" s="67" t="s">
        <v>93</v>
      </c>
      <c r="AH2" s="67" t="s">
        <v>94</v>
      </c>
      <c r="AI2" s="67" t="s">
        <v>95</v>
      </c>
      <c r="AJ2" s="67" t="s">
        <v>57</v>
      </c>
      <c r="AK2" s="68" t="s">
        <v>69</v>
      </c>
      <c r="AL2" s="29" t="s">
        <v>96</v>
      </c>
      <c r="AM2" s="66" t="s">
        <v>138</v>
      </c>
      <c r="AN2" s="67" t="s">
        <v>97</v>
      </c>
      <c r="AO2" s="67" t="s">
        <v>98</v>
      </c>
      <c r="AP2" s="68" t="s">
        <v>99</v>
      </c>
      <c r="AQ2" s="66" t="s">
        <v>90</v>
      </c>
      <c r="AR2" s="68" t="s">
        <v>91</v>
      </c>
      <c r="AS2" s="66" t="s">
        <v>89</v>
      </c>
      <c r="AT2" s="67" t="s">
        <v>58</v>
      </c>
      <c r="AU2" s="144" t="s">
        <v>139</v>
      </c>
      <c r="AV2" s="141" t="s">
        <v>105</v>
      </c>
      <c r="AW2" s="66" t="s">
        <v>88</v>
      </c>
      <c r="AX2" s="149" t="s">
        <v>146</v>
      </c>
      <c r="AY2" s="68" t="s">
        <v>140</v>
      </c>
      <c r="AZ2" s="138" t="s">
        <v>141</v>
      </c>
      <c r="BA2" s="138" t="s">
        <v>142</v>
      </c>
      <c r="BB2" s="138" t="s">
        <v>143</v>
      </c>
      <c r="BC2" s="138" t="s">
        <v>144</v>
      </c>
    </row>
    <row r="3" spans="1:55" x14ac:dyDescent="0.25">
      <c r="A3" s="69">
        <v>1</v>
      </c>
      <c r="B3" s="31"/>
      <c r="C3" s="6" t="s">
        <v>14</v>
      </c>
      <c r="D3" s="10" t="s">
        <v>15</v>
      </c>
      <c r="E3" s="32">
        <v>79</v>
      </c>
      <c r="F3" s="87" t="s">
        <v>1</v>
      </c>
      <c r="G3" s="87" t="s">
        <v>1</v>
      </c>
      <c r="H3" s="85">
        <v>0</v>
      </c>
      <c r="I3" s="85">
        <v>0</v>
      </c>
      <c r="J3" s="85">
        <v>0</v>
      </c>
      <c r="K3" s="85">
        <v>0</v>
      </c>
      <c r="L3" s="85" t="s">
        <v>110</v>
      </c>
      <c r="M3" s="83">
        <v>0</v>
      </c>
      <c r="N3" s="83">
        <v>0</v>
      </c>
      <c r="O3" s="83">
        <v>0</v>
      </c>
      <c r="P3" s="83" t="s">
        <v>119</v>
      </c>
      <c r="Q3" s="83">
        <v>0</v>
      </c>
      <c r="R3" s="83">
        <v>0</v>
      </c>
      <c r="S3" s="85">
        <v>0</v>
      </c>
      <c r="T3" s="30"/>
      <c r="U3" s="32" t="s">
        <v>16</v>
      </c>
      <c r="V3" s="10" t="s">
        <v>17</v>
      </c>
      <c r="W3" s="32" t="s">
        <v>18</v>
      </c>
      <c r="X3" s="6" t="s">
        <v>19</v>
      </c>
      <c r="Y3" s="88" t="s">
        <v>20</v>
      </c>
      <c r="Z3" s="94">
        <v>7.1428571428571425E-2</v>
      </c>
      <c r="AA3" s="33">
        <v>0</v>
      </c>
      <c r="AB3" s="33">
        <v>1</v>
      </c>
      <c r="AC3" s="34">
        <v>0</v>
      </c>
      <c r="AD3" s="35">
        <v>0</v>
      </c>
      <c r="AE3" s="35">
        <v>0</v>
      </c>
      <c r="AF3" s="34">
        <v>0</v>
      </c>
      <c r="AG3" s="34">
        <v>0</v>
      </c>
      <c r="AH3" s="34">
        <v>0</v>
      </c>
      <c r="AI3" s="34">
        <v>0</v>
      </c>
      <c r="AJ3" s="34">
        <v>0</v>
      </c>
      <c r="AK3" s="95">
        <v>0</v>
      </c>
      <c r="AL3" s="32" t="s">
        <v>2</v>
      </c>
      <c r="AM3" s="116" t="s">
        <v>2</v>
      </c>
      <c r="AN3" s="32" t="s">
        <v>0</v>
      </c>
      <c r="AO3" s="32" t="s">
        <v>0</v>
      </c>
      <c r="AP3" s="88" t="s">
        <v>0</v>
      </c>
      <c r="AQ3" s="69" t="s">
        <v>2</v>
      </c>
      <c r="AR3" s="89" t="s">
        <v>0</v>
      </c>
      <c r="AS3" s="69" t="s">
        <v>1</v>
      </c>
      <c r="AT3" s="10" t="s">
        <v>59</v>
      </c>
      <c r="AU3" s="7" t="s">
        <v>2</v>
      </c>
      <c r="AV3" s="142" t="s">
        <v>0</v>
      </c>
      <c r="AW3" s="69" t="s">
        <v>2</v>
      </c>
      <c r="AX3" s="145" t="s">
        <v>2</v>
      </c>
      <c r="AY3" s="150" t="s">
        <v>60</v>
      </c>
      <c r="AZ3" s="87">
        <v>1</v>
      </c>
      <c r="BA3" s="87">
        <v>0</v>
      </c>
      <c r="BB3" s="87">
        <v>0</v>
      </c>
      <c r="BC3" s="87">
        <v>0</v>
      </c>
    </row>
    <row r="4" spans="1:55" x14ac:dyDescent="0.25">
      <c r="A4" s="69">
        <v>2</v>
      </c>
      <c r="B4" s="31"/>
      <c r="C4" s="6" t="s">
        <v>14</v>
      </c>
      <c r="D4" s="10" t="s">
        <v>15</v>
      </c>
      <c r="E4" s="32">
        <v>77</v>
      </c>
      <c r="F4" s="87" t="s">
        <v>1</v>
      </c>
      <c r="G4" s="87" t="s">
        <v>1</v>
      </c>
      <c r="H4" s="86">
        <v>0</v>
      </c>
      <c r="I4" s="86">
        <v>0</v>
      </c>
      <c r="J4" s="86">
        <v>0</v>
      </c>
      <c r="K4" s="86">
        <v>0</v>
      </c>
      <c r="L4" s="86" t="s">
        <v>110</v>
      </c>
      <c r="M4" s="65">
        <v>0</v>
      </c>
      <c r="N4" s="65">
        <v>0</v>
      </c>
      <c r="O4" s="65">
        <v>0</v>
      </c>
      <c r="P4" s="65" t="s">
        <v>119</v>
      </c>
      <c r="Q4" s="65">
        <v>0</v>
      </c>
      <c r="R4" s="65">
        <v>0</v>
      </c>
      <c r="S4" s="86">
        <v>0</v>
      </c>
      <c r="T4" s="30"/>
      <c r="U4" s="32" t="s">
        <v>16</v>
      </c>
      <c r="V4" s="10" t="s">
        <v>17</v>
      </c>
      <c r="W4" s="32" t="s">
        <v>18</v>
      </c>
      <c r="X4" s="8" t="s">
        <v>19</v>
      </c>
      <c r="Y4" s="88" t="s">
        <v>21</v>
      </c>
      <c r="Z4" s="94">
        <v>0.45</v>
      </c>
      <c r="AA4" s="33">
        <v>0</v>
      </c>
      <c r="AB4" s="33">
        <v>1</v>
      </c>
      <c r="AC4" s="34">
        <v>0</v>
      </c>
      <c r="AD4" s="35">
        <v>0</v>
      </c>
      <c r="AE4" s="35">
        <v>0.5</v>
      </c>
      <c r="AF4" s="34">
        <v>1</v>
      </c>
      <c r="AG4" s="34">
        <v>1</v>
      </c>
      <c r="AH4" s="34">
        <v>4</v>
      </c>
      <c r="AI4" s="34">
        <v>0</v>
      </c>
      <c r="AJ4" s="34">
        <v>0</v>
      </c>
      <c r="AK4" s="95">
        <v>0</v>
      </c>
      <c r="AL4" s="32" t="s">
        <v>1</v>
      </c>
      <c r="AM4" s="117" t="s">
        <v>1</v>
      </c>
      <c r="AN4" s="32">
        <v>0</v>
      </c>
      <c r="AO4" s="32">
        <v>0</v>
      </c>
      <c r="AP4" s="118" t="s">
        <v>54</v>
      </c>
      <c r="AQ4" s="69" t="s">
        <v>2</v>
      </c>
      <c r="AR4" s="89" t="s">
        <v>0</v>
      </c>
      <c r="AS4" s="69" t="s">
        <v>1</v>
      </c>
      <c r="AT4" s="10" t="s">
        <v>59</v>
      </c>
      <c r="AU4" s="7" t="s">
        <v>1</v>
      </c>
      <c r="AV4" s="142" t="s">
        <v>51</v>
      </c>
      <c r="AW4" s="69" t="s">
        <v>2</v>
      </c>
      <c r="AX4" s="145" t="s">
        <v>1</v>
      </c>
      <c r="AY4" s="150" t="s">
        <v>61</v>
      </c>
      <c r="AZ4" s="87">
        <v>1</v>
      </c>
      <c r="BA4" s="2">
        <v>0</v>
      </c>
      <c r="BB4" s="2">
        <v>0</v>
      </c>
      <c r="BC4" s="2">
        <v>0</v>
      </c>
    </row>
    <row r="5" spans="1:55" x14ac:dyDescent="0.25">
      <c r="A5" s="69">
        <v>3</v>
      </c>
      <c r="B5" s="30"/>
      <c r="C5" s="6" t="s">
        <v>14</v>
      </c>
      <c r="D5" s="10" t="s">
        <v>22</v>
      </c>
      <c r="E5" s="32">
        <v>57</v>
      </c>
      <c r="F5" s="87" t="s">
        <v>1</v>
      </c>
      <c r="G5" s="87" t="s">
        <v>1</v>
      </c>
      <c r="H5" s="86">
        <v>0</v>
      </c>
      <c r="I5" s="86">
        <v>0</v>
      </c>
      <c r="J5" s="86">
        <v>0</v>
      </c>
      <c r="K5" s="86" t="s">
        <v>109</v>
      </c>
      <c r="L5" s="86">
        <v>0</v>
      </c>
      <c r="M5" s="65">
        <v>0</v>
      </c>
      <c r="N5" s="65" t="s">
        <v>117</v>
      </c>
      <c r="O5" s="65">
        <v>0</v>
      </c>
      <c r="P5" s="65">
        <v>0</v>
      </c>
      <c r="Q5" s="65">
        <v>0</v>
      </c>
      <c r="R5" s="65">
        <v>0</v>
      </c>
      <c r="S5" s="86">
        <v>0</v>
      </c>
      <c r="T5" s="30"/>
      <c r="U5" s="32" t="s">
        <v>16</v>
      </c>
      <c r="V5" s="10" t="s">
        <v>17</v>
      </c>
      <c r="W5" s="32" t="s">
        <v>18</v>
      </c>
      <c r="X5" s="6" t="s">
        <v>19</v>
      </c>
      <c r="Y5" s="9" t="s">
        <v>21</v>
      </c>
      <c r="Z5" s="94">
        <v>0.43478260869565216</v>
      </c>
      <c r="AA5" s="33">
        <v>0</v>
      </c>
      <c r="AB5" s="33">
        <v>1</v>
      </c>
      <c r="AC5" s="34">
        <v>0</v>
      </c>
      <c r="AD5" s="35">
        <v>0</v>
      </c>
      <c r="AE5" s="35">
        <v>0.6</v>
      </c>
      <c r="AF5" s="34">
        <v>0</v>
      </c>
      <c r="AG5" s="34">
        <v>0</v>
      </c>
      <c r="AH5" s="34">
        <v>3</v>
      </c>
      <c r="AI5" s="34">
        <v>0</v>
      </c>
      <c r="AJ5" s="34">
        <v>0</v>
      </c>
      <c r="AK5" s="95">
        <v>0</v>
      </c>
      <c r="AL5" s="32" t="s">
        <v>2</v>
      </c>
      <c r="AM5" s="117" t="s">
        <v>1</v>
      </c>
      <c r="AN5" s="32">
        <v>0</v>
      </c>
      <c r="AO5" s="32" t="s">
        <v>53</v>
      </c>
      <c r="AP5" s="88">
        <v>0</v>
      </c>
      <c r="AQ5" s="69" t="s">
        <v>2</v>
      </c>
      <c r="AR5" s="89" t="s">
        <v>0</v>
      </c>
      <c r="AS5" s="69" t="s">
        <v>1</v>
      </c>
      <c r="AT5" s="10" t="s">
        <v>59</v>
      </c>
      <c r="AU5" s="7" t="s">
        <v>1</v>
      </c>
      <c r="AV5" s="142" t="s">
        <v>2</v>
      </c>
      <c r="AW5" s="69" t="s">
        <v>2</v>
      </c>
      <c r="AX5" s="145" t="s">
        <v>1</v>
      </c>
      <c r="AY5" s="150" t="s">
        <v>60</v>
      </c>
      <c r="AZ5" s="2">
        <v>0</v>
      </c>
      <c r="BA5" s="2">
        <v>0</v>
      </c>
      <c r="BB5" s="2">
        <v>1</v>
      </c>
      <c r="BC5" s="2">
        <v>0</v>
      </c>
    </row>
    <row r="6" spans="1:55" x14ac:dyDescent="0.25">
      <c r="A6" s="69">
        <v>4</v>
      </c>
      <c r="B6" s="30"/>
      <c r="C6" s="6" t="s">
        <v>14</v>
      </c>
      <c r="D6" s="10" t="s">
        <v>15</v>
      </c>
      <c r="E6" s="32">
        <v>80</v>
      </c>
      <c r="F6" s="87" t="s">
        <v>1</v>
      </c>
      <c r="G6" s="87" t="s">
        <v>1</v>
      </c>
      <c r="H6" s="86">
        <v>0</v>
      </c>
      <c r="I6" s="86">
        <v>0</v>
      </c>
      <c r="J6" s="86">
        <v>0</v>
      </c>
      <c r="K6" s="86">
        <v>0</v>
      </c>
      <c r="L6" s="86" t="s">
        <v>110</v>
      </c>
      <c r="M6" s="65">
        <v>0</v>
      </c>
      <c r="N6" s="65" t="s">
        <v>117</v>
      </c>
      <c r="O6" s="65">
        <v>0</v>
      </c>
      <c r="P6" s="65">
        <v>0</v>
      </c>
      <c r="Q6" s="65">
        <v>0</v>
      </c>
      <c r="R6" s="65">
        <v>0</v>
      </c>
      <c r="S6" s="86">
        <v>0</v>
      </c>
      <c r="T6" s="30"/>
      <c r="U6" s="32" t="s">
        <v>16</v>
      </c>
      <c r="V6" s="10" t="s">
        <v>17</v>
      </c>
      <c r="W6" s="32" t="s">
        <v>18</v>
      </c>
      <c r="X6" s="6" t="s">
        <v>23</v>
      </c>
      <c r="Y6" s="9" t="s">
        <v>21</v>
      </c>
      <c r="Z6" s="96">
        <v>0.46875</v>
      </c>
      <c r="AA6" s="36">
        <v>0.1333333333333333</v>
      </c>
      <c r="AB6" s="36">
        <v>0.8666666666666667</v>
      </c>
      <c r="AC6" s="37">
        <v>1</v>
      </c>
      <c r="AD6" s="38">
        <v>7.1428571428571425E-2</v>
      </c>
      <c r="AE6" s="35">
        <v>0.21428571428571427</v>
      </c>
      <c r="AF6" s="37">
        <v>0</v>
      </c>
      <c r="AG6" s="37">
        <v>0</v>
      </c>
      <c r="AH6" s="37">
        <v>3</v>
      </c>
      <c r="AI6" s="37">
        <v>0</v>
      </c>
      <c r="AJ6" s="37">
        <v>0</v>
      </c>
      <c r="AK6" s="97">
        <v>0</v>
      </c>
      <c r="AL6" s="32" t="s">
        <v>2</v>
      </c>
      <c r="AM6" s="117" t="s">
        <v>1</v>
      </c>
      <c r="AN6" s="32" t="s">
        <v>52</v>
      </c>
      <c r="AO6" s="32">
        <v>0</v>
      </c>
      <c r="AP6" s="88">
        <v>0</v>
      </c>
      <c r="AQ6" s="69" t="s">
        <v>1</v>
      </c>
      <c r="AR6" s="89" t="s">
        <v>2</v>
      </c>
      <c r="AS6" s="69" t="s">
        <v>2</v>
      </c>
      <c r="AT6" s="10" t="s">
        <v>0</v>
      </c>
      <c r="AU6" s="7" t="s">
        <v>1</v>
      </c>
      <c r="AV6" s="142" t="s">
        <v>2</v>
      </c>
      <c r="AW6" s="69" t="s">
        <v>2</v>
      </c>
      <c r="AX6" s="145" t="s">
        <v>2</v>
      </c>
      <c r="AY6" s="150" t="s">
        <v>60</v>
      </c>
      <c r="AZ6" s="87">
        <v>1</v>
      </c>
      <c r="BA6" s="2">
        <v>0</v>
      </c>
      <c r="BB6" s="2">
        <v>0</v>
      </c>
      <c r="BC6" s="2">
        <v>0</v>
      </c>
    </row>
    <row r="7" spans="1:55" x14ac:dyDescent="0.25">
      <c r="A7" s="69">
        <v>5</v>
      </c>
      <c r="B7" s="30"/>
      <c r="C7" s="6" t="s">
        <v>14</v>
      </c>
      <c r="D7" s="10" t="s">
        <v>15</v>
      </c>
      <c r="E7" s="32">
        <v>47</v>
      </c>
      <c r="F7" s="87" t="s">
        <v>1</v>
      </c>
      <c r="G7" s="87" t="s">
        <v>1</v>
      </c>
      <c r="H7" s="86">
        <v>0</v>
      </c>
      <c r="I7" s="86">
        <v>0</v>
      </c>
      <c r="J7" s="86" t="s">
        <v>108</v>
      </c>
      <c r="K7" s="86">
        <v>0</v>
      </c>
      <c r="L7" s="86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86" t="s">
        <v>123</v>
      </c>
      <c r="T7" s="30"/>
      <c r="U7" s="6" t="s">
        <v>24</v>
      </c>
      <c r="V7" s="10" t="s">
        <v>17</v>
      </c>
      <c r="W7" s="6" t="s">
        <v>18</v>
      </c>
      <c r="X7" s="6" t="s">
        <v>23</v>
      </c>
      <c r="Y7" s="9" t="s">
        <v>21</v>
      </c>
      <c r="Z7" s="96">
        <v>0.4642857142857143</v>
      </c>
      <c r="AA7" s="36">
        <v>7.6923076923076872E-2</v>
      </c>
      <c r="AB7" s="36">
        <v>0.92307692307692313</v>
      </c>
      <c r="AC7" s="37">
        <v>0</v>
      </c>
      <c r="AD7" s="38">
        <v>0</v>
      </c>
      <c r="AE7" s="35">
        <v>0.5</v>
      </c>
      <c r="AF7" s="37">
        <v>0</v>
      </c>
      <c r="AG7" s="37">
        <v>0</v>
      </c>
      <c r="AH7" s="37">
        <v>0</v>
      </c>
      <c r="AI7" s="37">
        <v>0</v>
      </c>
      <c r="AJ7" s="37">
        <v>0</v>
      </c>
      <c r="AK7" s="97">
        <v>0</v>
      </c>
      <c r="AL7" s="32" t="s">
        <v>2</v>
      </c>
      <c r="AM7" s="117" t="s">
        <v>1</v>
      </c>
      <c r="AN7" s="32">
        <v>0</v>
      </c>
      <c r="AO7" s="32">
        <v>0</v>
      </c>
      <c r="AP7" s="118" t="s">
        <v>54</v>
      </c>
      <c r="AQ7" s="69" t="s">
        <v>1</v>
      </c>
      <c r="AR7" s="89" t="s">
        <v>2</v>
      </c>
      <c r="AS7" s="69" t="s">
        <v>2</v>
      </c>
      <c r="AT7" s="10" t="s">
        <v>0</v>
      </c>
      <c r="AU7" s="7" t="s">
        <v>1</v>
      </c>
      <c r="AV7" s="142" t="s">
        <v>2</v>
      </c>
      <c r="AW7" s="69" t="s">
        <v>1</v>
      </c>
      <c r="AX7" s="145" t="s">
        <v>1</v>
      </c>
      <c r="AY7" s="150" t="s">
        <v>61</v>
      </c>
      <c r="AZ7" s="87">
        <v>1</v>
      </c>
      <c r="BA7" s="2">
        <v>0</v>
      </c>
      <c r="BB7" s="2">
        <v>0</v>
      </c>
      <c r="BC7" s="2">
        <v>0</v>
      </c>
    </row>
    <row r="8" spans="1:55" x14ac:dyDescent="0.25">
      <c r="A8" s="69">
        <v>6</v>
      </c>
      <c r="B8" s="30"/>
      <c r="C8" s="6" t="s">
        <v>14</v>
      </c>
      <c r="D8" s="10" t="s">
        <v>25</v>
      </c>
      <c r="E8" s="32">
        <v>38</v>
      </c>
      <c r="F8" s="87" t="s">
        <v>1</v>
      </c>
      <c r="G8" s="87" t="s">
        <v>1</v>
      </c>
      <c r="H8" s="86">
        <v>0</v>
      </c>
      <c r="I8" s="86">
        <v>0</v>
      </c>
      <c r="J8" s="86">
        <v>0</v>
      </c>
      <c r="K8" s="86">
        <v>0</v>
      </c>
      <c r="L8" s="86" t="s">
        <v>110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86" t="s">
        <v>124</v>
      </c>
      <c r="T8" s="30"/>
      <c r="U8" s="6" t="s">
        <v>24</v>
      </c>
      <c r="V8" s="10" t="s">
        <v>17</v>
      </c>
      <c r="W8" s="6" t="s">
        <v>18</v>
      </c>
      <c r="X8" s="6" t="s">
        <v>23</v>
      </c>
      <c r="Y8" s="9" t="s">
        <v>21</v>
      </c>
      <c r="Z8" s="94">
        <v>0.61111111111111116</v>
      </c>
      <c r="AA8" s="33">
        <v>9.0909090909090939E-2</v>
      </c>
      <c r="AB8" s="33">
        <v>0.90909090909090906</v>
      </c>
      <c r="AC8" s="34">
        <v>0</v>
      </c>
      <c r="AD8" s="35">
        <v>0</v>
      </c>
      <c r="AE8" s="35">
        <v>0.8</v>
      </c>
      <c r="AF8" s="34">
        <v>0</v>
      </c>
      <c r="AG8" s="34">
        <v>0</v>
      </c>
      <c r="AH8" s="34">
        <v>2</v>
      </c>
      <c r="AI8" s="34">
        <v>0</v>
      </c>
      <c r="AJ8" s="34">
        <v>0</v>
      </c>
      <c r="AK8" s="95">
        <v>0</v>
      </c>
      <c r="AL8" s="32" t="s">
        <v>2</v>
      </c>
      <c r="AM8" s="117" t="s">
        <v>1</v>
      </c>
      <c r="AN8" s="32" t="s">
        <v>52</v>
      </c>
      <c r="AO8" s="32">
        <v>0</v>
      </c>
      <c r="AP8" s="88">
        <v>0</v>
      </c>
      <c r="AQ8" s="69" t="s">
        <v>1</v>
      </c>
      <c r="AR8" s="89" t="s">
        <v>2</v>
      </c>
      <c r="AS8" s="69" t="s">
        <v>2</v>
      </c>
      <c r="AT8" s="10" t="s">
        <v>0</v>
      </c>
      <c r="AU8" s="7" t="s">
        <v>1</v>
      </c>
      <c r="AV8" s="142" t="s">
        <v>2</v>
      </c>
      <c r="AW8" s="69" t="s">
        <v>2</v>
      </c>
      <c r="AX8" s="145" t="s">
        <v>2</v>
      </c>
      <c r="AY8" s="150" t="s">
        <v>61</v>
      </c>
      <c r="AZ8" s="2">
        <v>0</v>
      </c>
      <c r="BA8" s="2">
        <v>0</v>
      </c>
      <c r="BB8" s="2">
        <v>1</v>
      </c>
      <c r="BC8" s="2">
        <v>0</v>
      </c>
    </row>
    <row r="9" spans="1:55" x14ac:dyDescent="0.25">
      <c r="A9" s="69">
        <v>7</v>
      </c>
      <c r="B9" s="30"/>
      <c r="C9" s="6" t="s">
        <v>14</v>
      </c>
      <c r="D9" s="10" t="s">
        <v>15</v>
      </c>
      <c r="E9" s="32">
        <v>58</v>
      </c>
      <c r="F9" s="87" t="s">
        <v>1</v>
      </c>
      <c r="G9" s="87" t="s">
        <v>1</v>
      </c>
      <c r="H9" s="86">
        <v>0</v>
      </c>
      <c r="I9" s="86" t="s">
        <v>107</v>
      </c>
      <c r="J9" s="86">
        <v>0</v>
      </c>
      <c r="K9" s="86">
        <v>0</v>
      </c>
      <c r="L9" s="86">
        <v>0</v>
      </c>
      <c r="M9" s="65">
        <v>0</v>
      </c>
      <c r="N9" s="65">
        <v>0</v>
      </c>
      <c r="O9" s="65" t="s">
        <v>118</v>
      </c>
      <c r="P9" s="65">
        <v>0</v>
      </c>
      <c r="Q9" s="65">
        <v>0</v>
      </c>
      <c r="R9" s="65">
        <v>0</v>
      </c>
      <c r="S9" s="86">
        <v>0</v>
      </c>
      <c r="T9" s="30"/>
      <c r="U9" s="6" t="s">
        <v>24</v>
      </c>
      <c r="V9" s="10" t="s">
        <v>17</v>
      </c>
      <c r="W9" s="6" t="s">
        <v>18</v>
      </c>
      <c r="X9" s="6" t="s">
        <v>19</v>
      </c>
      <c r="Y9" s="9" t="s">
        <v>20</v>
      </c>
      <c r="Z9" s="96">
        <v>0.3888888888888889</v>
      </c>
      <c r="AA9" s="36">
        <v>4.7619047619047672E-2</v>
      </c>
      <c r="AB9" s="36">
        <v>0.95238095238095233</v>
      </c>
      <c r="AC9" s="37">
        <v>1</v>
      </c>
      <c r="AD9" s="38">
        <v>4.7619047619047616E-2</v>
      </c>
      <c r="AE9" s="35">
        <v>0.5714285714285714</v>
      </c>
      <c r="AF9" s="37">
        <v>1</v>
      </c>
      <c r="AG9" s="37">
        <v>2</v>
      </c>
      <c r="AH9" s="37">
        <v>3</v>
      </c>
      <c r="AI9" s="37">
        <v>0</v>
      </c>
      <c r="AJ9" s="37">
        <v>0</v>
      </c>
      <c r="AK9" s="97">
        <v>0</v>
      </c>
      <c r="AL9" s="32" t="s">
        <v>1</v>
      </c>
      <c r="AM9" s="117" t="s">
        <v>1</v>
      </c>
      <c r="AN9" s="32">
        <v>0</v>
      </c>
      <c r="AO9" s="32">
        <v>0</v>
      </c>
      <c r="AP9" s="88" t="s">
        <v>54</v>
      </c>
      <c r="AQ9" s="69" t="s">
        <v>1</v>
      </c>
      <c r="AR9" s="89" t="s">
        <v>2</v>
      </c>
      <c r="AS9" s="69" t="s">
        <v>1</v>
      </c>
      <c r="AT9" s="10" t="s">
        <v>59</v>
      </c>
      <c r="AU9" s="7" t="s">
        <v>1</v>
      </c>
      <c r="AV9" s="142" t="s">
        <v>2</v>
      </c>
      <c r="AW9" s="69" t="s">
        <v>2</v>
      </c>
      <c r="AX9" s="145" t="s">
        <v>2</v>
      </c>
      <c r="AY9" s="150" t="s">
        <v>60</v>
      </c>
      <c r="AZ9" s="87">
        <v>1</v>
      </c>
      <c r="BA9" s="2">
        <v>0</v>
      </c>
      <c r="BB9" s="2">
        <v>0</v>
      </c>
      <c r="BC9" s="2">
        <v>0</v>
      </c>
    </row>
    <row r="10" spans="1:55" x14ac:dyDescent="0.25">
      <c r="A10" s="69">
        <v>8</v>
      </c>
      <c r="B10" s="31"/>
      <c r="C10" s="32" t="s">
        <v>14</v>
      </c>
      <c r="D10" s="10" t="s">
        <v>15</v>
      </c>
      <c r="E10" s="32">
        <v>71</v>
      </c>
      <c r="F10" s="87" t="s">
        <v>1</v>
      </c>
      <c r="G10" s="87" t="s">
        <v>1</v>
      </c>
      <c r="H10" s="86">
        <v>0</v>
      </c>
      <c r="I10" s="86" t="s">
        <v>107</v>
      </c>
      <c r="J10" s="86">
        <v>0</v>
      </c>
      <c r="K10" s="86">
        <v>0</v>
      </c>
      <c r="L10" s="86">
        <v>0</v>
      </c>
      <c r="M10" s="65">
        <v>0</v>
      </c>
      <c r="N10" s="65">
        <v>0</v>
      </c>
      <c r="O10" s="65">
        <v>0</v>
      </c>
      <c r="P10" s="65" t="s">
        <v>119</v>
      </c>
      <c r="Q10" s="65">
        <v>0</v>
      </c>
      <c r="R10" s="65">
        <v>0</v>
      </c>
      <c r="S10" s="86">
        <v>0</v>
      </c>
      <c r="T10" s="31"/>
      <c r="U10" s="32" t="s">
        <v>24</v>
      </c>
      <c r="V10" s="10" t="s">
        <v>17</v>
      </c>
      <c r="W10" s="32" t="s">
        <v>26</v>
      </c>
      <c r="X10" s="6" t="s">
        <v>19</v>
      </c>
      <c r="Y10" s="9" t="s">
        <v>21</v>
      </c>
      <c r="Z10" s="94">
        <v>0.4642857142857143</v>
      </c>
      <c r="AA10" s="33">
        <v>0</v>
      </c>
      <c r="AB10" s="33">
        <v>1</v>
      </c>
      <c r="AC10" s="34">
        <v>0</v>
      </c>
      <c r="AD10" s="35">
        <v>0</v>
      </c>
      <c r="AE10" s="35">
        <v>0.53846153846153844</v>
      </c>
      <c r="AF10" s="34">
        <v>0</v>
      </c>
      <c r="AG10" s="34">
        <v>0</v>
      </c>
      <c r="AH10" s="34">
        <v>3</v>
      </c>
      <c r="AI10" s="34">
        <v>0</v>
      </c>
      <c r="AJ10" s="34">
        <v>0</v>
      </c>
      <c r="AK10" s="95">
        <v>0</v>
      </c>
      <c r="AL10" s="32" t="s">
        <v>1</v>
      </c>
      <c r="AM10" s="117" t="s">
        <v>1</v>
      </c>
      <c r="AN10" s="32">
        <v>0</v>
      </c>
      <c r="AO10" s="32" t="s">
        <v>53</v>
      </c>
      <c r="AP10" s="88">
        <v>0</v>
      </c>
      <c r="AQ10" s="69" t="s">
        <v>1</v>
      </c>
      <c r="AR10" s="89" t="s">
        <v>2</v>
      </c>
      <c r="AS10" s="69" t="s">
        <v>2</v>
      </c>
      <c r="AT10" s="10" t="s">
        <v>0</v>
      </c>
      <c r="AU10" s="7" t="s">
        <v>1</v>
      </c>
      <c r="AV10" s="142" t="s">
        <v>2</v>
      </c>
      <c r="AW10" s="69" t="s">
        <v>2</v>
      </c>
      <c r="AX10" s="145" t="s">
        <v>2</v>
      </c>
      <c r="AY10" s="150" t="s">
        <v>60</v>
      </c>
      <c r="AZ10" s="87">
        <v>1</v>
      </c>
      <c r="BA10" s="2">
        <v>0</v>
      </c>
      <c r="BB10" s="2">
        <v>0</v>
      </c>
      <c r="BC10" s="2">
        <v>0</v>
      </c>
    </row>
    <row r="11" spans="1:55" x14ac:dyDescent="0.25">
      <c r="A11" s="69">
        <v>9</v>
      </c>
      <c r="B11" s="31"/>
      <c r="C11" s="32" t="s">
        <v>14</v>
      </c>
      <c r="D11" s="10" t="s">
        <v>15</v>
      </c>
      <c r="E11" s="32">
        <v>70</v>
      </c>
      <c r="F11" s="87" t="s">
        <v>1</v>
      </c>
      <c r="G11" s="87" t="s">
        <v>1</v>
      </c>
      <c r="H11" s="86" t="s">
        <v>106</v>
      </c>
      <c r="I11" s="86">
        <v>0</v>
      </c>
      <c r="J11" s="86">
        <v>0</v>
      </c>
      <c r="K11" s="86">
        <v>0</v>
      </c>
      <c r="L11" s="86">
        <v>0</v>
      </c>
      <c r="M11" s="65" t="s">
        <v>116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86">
        <v>0</v>
      </c>
      <c r="T11" s="31"/>
      <c r="U11" s="32" t="s">
        <v>24</v>
      </c>
      <c r="V11" s="10" t="s">
        <v>17</v>
      </c>
      <c r="W11" s="32" t="s">
        <v>26</v>
      </c>
      <c r="X11" s="6" t="s">
        <v>19</v>
      </c>
      <c r="Y11" s="9" t="s">
        <v>20</v>
      </c>
      <c r="Z11" s="94">
        <v>0.67272727272727273</v>
      </c>
      <c r="AA11" s="33">
        <v>0</v>
      </c>
      <c r="AB11" s="33">
        <v>1</v>
      </c>
      <c r="AC11" s="34">
        <v>0</v>
      </c>
      <c r="AD11" s="35">
        <v>0</v>
      </c>
      <c r="AE11" s="35">
        <v>0.4375</v>
      </c>
      <c r="AF11" s="34">
        <v>0</v>
      </c>
      <c r="AG11" s="34">
        <v>0</v>
      </c>
      <c r="AH11" s="34">
        <v>3</v>
      </c>
      <c r="AI11" s="34">
        <v>0</v>
      </c>
      <c r="AJ11" s="34">
        <v>0</v>
      </c>
      <c r="AK11" s="95">
        <v>0</v>
      </c>
      <c r="AL11" s="32" t="s">
        <v>1</v>
      </c>
      <c r="AM11" s="116" t="s">
        <v>2</v>
      </c>
      <c r="AN11" s="32" t="s">
        <v>0</v>
      </c>
      <c r="AO11" s="32" t="s">
        <v>0</v>
      </c>
      <c r="AP11" s="88" t="s">
        <v>0</v>
      </c>
      <c r="AQ11" s="69" t="s">
        <v>2</v>
      </c>
      <c r="AR11" s="89" t="s">
        <v>0</v>
      </c>
      <c r="AS11" s="69" t="s">
        <v>2</v>
      </c>
      <c r="AT11" s="10" t="s">
        <v>0</v>
      </c>
      <c r="AU11" s="7" t="s">
        <v>1</v>
      </c>
      <c r="AV11" s="142" t="s">
        <v>0</v>
      </c>
      <c r="AW11" s="69" t="s">
        <v>2</v>
      </c>
      <c r="AX11" s="145" t="s">
        <v>1</v>
      </c>
      <c r="AY11" s="150" t="s">
        <v>61</v>
      </c>
      <c r="AZ11" s="87">
        <v>1</v>
      </c>
      <c r="BA11" s="2">
        <v>0</v>
      </c>
      <c r="BB11" s="2">
        <v>0</v>
      </c>
      <c r="BC11" s="2">
        <v>0</v>
      </c>
    </row>
    <row r="12" spans="1:55" x14ac:dyDescent="0.25">
      <c r="A12" s="69">
        <v>10</v>
      </c>
      <c r="B12" s="31"/>
      <c r="C12" s="32" t="s">
        <v>14</v>
      </c>
      <c r="D12" s="10" t="s">
        <v>15</v>
      </c>
      <c r="E12" s="32">
        <v>39</v>
      </c>
      <c r="F12" s="87" t="s">
        <v>1</v>
      </c>
      <c r="G12" s="87" t="s">
        <v>1</v>
      </c>
      <c r="H12" s="86">
        <v>0</v>
      </c>
      <c r="I12" s="86">
        <v>0</v>
      </c>
      <c r="J12" s="86" t="s">
        <v>108</v>
      </c>
      <c r="K12" s="86">
        <v>0</v>
      </c>
      <c r="L12" s="86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86" t="s">
        <v>125</v>
      </c>
      <c r="T12" s="31"/>
      <c r="U12" s="32" t="s">
        <v>24</v>
      </c>
      <c r="V12" s="10" t="s">
        <v>17</v>
      </c>
      <c r="W12" s="32" t="s">
        <v>26</v>
      </c>
      <c r="X12" s="6" t="s">
        <v>19</v>
      </c>
      <c r="Y12" s="9" t="s">
        <v>21</v>
      </c>
      <c r="Z12" s="94">
        <v>0.58695652173913049</v>
      </c>
      <c r="AA12" s="33">
        <v>0</v>
      </c>
      <c r="AB12" s="33">
        <v>1</v>
      </c>
      <c r="AC12" s="34">
        <v>0</v>
      </c>
      <c r="AD12" s="35">
        <v>0</v>
      </c>
      <c r="AE12" s="35">
        <v>0.76</v>
      </c>
      <c r="AF12" s="34">
        <v>1</v>
      </c>
      <c r="AG12" s="34">
        <v>3</v>
      </c>
      <c r="AH12" s="34">
        <v>0</v>
      </c>
      <c r="AI12" s="34">
        <v>0</v>
      </c>
      <c r="AJ12" s="34">
        <v>0</v>
      </c>
      <c r="AK12" s="95">
        <v>0</v>
      </c>
      <c r="AL12" s="32" t="s">
        <v>1</v>
      </c>
      <c r="AM12" s="117" t="s">
        <v>1</v>
      </c>
      <c r="AN12" s="32">
        <v>0</v>
      </c>
      <c r="AO12" s="32">
        <v>0</v>
      </c>
      <c r="AP12" s="118" t="s">
        <v>54</v>
      </c>
      <c r="AQ12" s="69" t="s">
        <v>2</v>
      </c>
      <c r="AR12" s="89" t="s">
        <v>0</v>
      </c>
      <c r="AS12" s="69" t="s">
        <v>1</v>
      </c>
      <c r="AT12" s="10" t="s">
        <v>59</v>
      </c>
      <c r="AU12" s="7" t="s">
        <v>1</v>
      </c>
      <c r="AV12" s="142" t="s">
        <v>2</v>
      </c>
      <c r="AW12" s="69" t="s">
        <v>2</v>
      </c>
      <c r="AX12" s="145" t="s">
        <v>2</v>
      </c>
      <c r="AY12" s="150" t="s">
        <v>61</v>
      </c>
      <c r="AZ12" s="2">
        <v>0</v>
      </c>
      <c r="BA12" s="2">
        <v>0</v>
      </c>
      <c r="BB12" s="2">
        <v>1</v>
      </c>
      <c r="BC12" s="2">
        <v>0</v>
      </c>
    </row>
    <row r="13" spans="1:55" x14ac:dyDescent="0.25">
      <c r="A13" s="69">
        <v>11</v>
      </c>
      <c r="B13" s="31"/>
      <c r="C13" s="32" t="s">
        <v>14</v>
      </c>
      <c r="D13" s="10" t="s">
        <v>27</v>
      </c>
      <c r="E13" s="32">
        <v>53</v>
      </c>
      <c r="F13" s="87" t="s">
        <v>1</v>
      </c>
      <c r="G13" s="87" t="s">
        <v>1</v>
      </c>
      <c r="H13" s="86">
        <v>0</v>
      </c>
      <c r="I13" s="86" t="s">
        <v>107</v>
      </c>
      <c r="J13" s="86">
        <v>0</v>
      </c>
      <c r="K13" s="86">
        <v>0</v>
      </c>
      <c r="L13" s="86">
        <v>0</v>
      </c>
      <c r="M13" s="65">
        <v>0</v>
      </c>
      <c r="N13" s="65" t="s">
        <v>117</v>
      </c>
      <c r="O13" s="65">
        <v>0</v>
      </c>
      <c r="P13" s="65">
        <v>0</v>
      </c>
      <c r="Q13" s="65">
        <v>0</v>
      </c>
      <c r="R13" s="65">
        <v>0</v>
      </c>
      <c r="S13" s="86">
        <v>0</v>
      </c>
      <c r="T13" s="31"/>
      <c r="U13" s="32" t="s">
        <v>24</v>
      </c>
      <c r="V13" s="10" t="s">
        <v>17</v>
      </c>
      <c r="W13" s="32" t="s">
        <v>26</v>
      </c>
      <c r="X13" s="6" t="s">
        <v>19</v>
      </c>
      <c r="Y13" s="9" t="s">
        <v>20</v>
      </c>
      <c r="Z13" s="94">
        <v>0.40625</v>
      </c>
      <c r="AA13" s="33">
        <v>0</v>
      </c>
      <c r="AB13" s="33">
        <v>1</v>
      </c>
      <c r="AC13" s="34">
        <v>0</v>
      </c>
      <c r="AD13" s="35">
        <v>0</v>
      </c>
      <c r="AE13" s="35">
        <v>0.30769230769230771</v>
      </c>
      <c r="AF13" s="34">
        <v>1</v>
      </c>
      <c r="AG13" s="34">
        <v>2</v>
      </c>
      <c r="AH13" s="34">
        <v>2</v>
      </c>
      <c r="AI13" s="34">
        <v>0</v>
      </c>
      <c r="AJ13" s="34">
        <v>0</v>
      </c>
      <c r="AK13" s="95">
        <v>0</v>
      </c>
      <c r="AL13" s="32" t="s">
        <v>1</v>
      </c>
      <c r="AM13" s="117" t="s">
        <v>1</v>
      </c>
      <c r="AN13" s="32">
        <v>0</v>
      </c>
      <c r="AO13" s="32" t="s">
        <v>53</v>
      </c>
      <c r="AP13" s="88">
        <v>0</v>
      </c>
      <c r="AQ13" s="69" t="s">
        <v>2</v>
      </c>
      <c r="AR13" s="89" t="s">
        <v>0</v>
      </c>
      <c r="AS13" s="69" t="s">
        <v>2</v>
      </c>
      <c r="AT13" s="10" t="s">
        <v>0</v>
      </c>
      <c r="AU13" s="7" t="s">
        <v>1</v>
      </c>
      <c r="AV13" s="142" t="s">
        <v>2</v>
      </c>
      <c r="AW13" s="69" t="s">
        <v>2</v>
      </c>
      <c r="AX13" s="145" t="s">
        <v>2</v>
      </c>
      <c r="AY13" s="150" t="s">
        <v>60</v>
      </c>
      <c r="AZ13" s="87">
        <v>1</v>
      </c>
      <c r="BA13" s="2">
        <v>0</v>
      </c>
      <c r="BB13" s="2">
        <v>0</v>
      </c>
      <c r="BC13" s="2">
        <v>0</v>
      </c>
    </row>
    <row r="14" spans="1:55" x14ac:dyDescent="0.25">
      <c r="A14" s="69">
        <v>12</v>
      </c>
      <c r="B14" s="31"/>
      <c r="C14" s="32" t="s">
        <v>14</v>
      </c>
      <c r="D14" s="10" t="s">
        <v>22</v>
      </c>
      <c r="E14" s="32">
        <v>71</v>
      </c>
      <c r="F14" s="87" t="s">
        <v>1</v>
      </c>
      <c r="G14" s="87" t="s">
        <v>1</v>
      </c>
      <c r="H14" s="86">
        <v>0</v>
      </c>
      <c r="I14" s="86" t="s">
        <v>107</v>
      </c>
      <c r="J14" s="86">
        <v>0</v>
      </c>
      <c r="K14" s="86">
        <v>0</v>
      </c>
      <c r="L14" s="86">
        <v>0</v>
      </c>
      <c r="M14" s="65">
        <v>0</v>
      </c>
      <c r="N14" s="65">
        <v>0</v>
      </c>
      <c r="O14" s="65" t="s">
        <v>118</v>
      </c>
      <c r="P14" s="65">
        <v>0</v>
      </c>
      <c r="Q14" s="65">
        <v>0</v>
      </c>
      <c r="R14" s="65">
        <v>0</v>
      </c>
      <c r="S14" s="86">
        <v>0</v>
      </c>
      <c r="T14" s="31"/>
      <c r="U14" s="32" t="s">
        <v>24</v>
      </c>
      <c r="V14" s="10" t="s">
        <v>17</v>
      </c>
      <c r="W14" s="32" t="s">
        <v>28</v>
      </c>
      <c r="X14" s="6" t="s">
        <v>23</v>
      </c>
      <c r="Y14" s="9" t="s">
        <v>20</v>
      </c>
      <c r="Z14" s="96">
        <v>0.30769230769230771</v>
      </c>
      <c r="AA14" s="36">
        <v>0.25</v>
      </c>
      <c r="AB14" s="36">
        <v>0.75</v>
      </c>
      <c r="AC14" s="37">
        <v>1</v>
      </c>
      <c r="AD14" s="38">
        <v>0.25</v>
      </c>
      <c r="AE14" s="35">
        <v>0.5</v>
      </c>
      <c r="AF14" s="37">
        <v>1</v>
      </c>
      <c r="AG14" s="37">
        <v>1</v>
      </c>
      <c r="AH14" s="37">
        <v>1</v>
      </c>
      <c r="AI14" s="37">
        <v>0</v>
      </c>
      <c r="AJ14" s="37">
        <v>0</v>
      </c>
      <c r="AK14" s="97">
        <v>0</v>
      </c>
      <c r="AL14" s="32" t="s">
        <v>2</v>
      </c>
      <c r="AM14" s="116" t="s">
        <v>2</v>
      </c>
      <c r="AN14" s="32" t="s">
        <v>0</v>
      </c>
      <c r="AO14" s="32" t="s">
        <v>0</v>
      </c>
      <c r="AP14" s="88" t="s">
        <v>0</v>
      </c>
      <c r="AQ14" s="69" t="s">
        <v>2</v>
      </c>
      <c r="AR14" s="89" t="s">
        <v>0</v>
      </c>
      <c r="AS14" s="69" t="s">
        <v>2</v>
      </c>
      <c r="AT14" s="10" t="s">
        <v>0</v>
      </c>
      <c r="AU14" s="7" t="s">
        <v>1</v>
      </c>
      <c r="AV14" s="142" t="s">
        <v>2</v>
      </c>
      <c r="AW14" s="69" t="s">
        <v>2</v>
      </c>
      <c r="AX14" s="145" t="s">
        <v>2</v>
      </c>
      <c r="AY14" s="150" t="s">
        <v>60</v>
      </c>
      <c r="AZ14" s="87">
        <v>1</v>
      </c>
      <c r="BA14" s="2">
        <v>0</v>
      </c>
      <c r="BB14" s="2">
        <v>0</v>
      </c>
      <c r="BC14" s="2">
        <v>0</v>
      </c>
    </row>
    <row r="15" spans="1:55" x14ac:dyDescent="0.25">
      <c r="A15" s="69">
        <v>13</v>
      </c>
      <c r="B15" s="31"/>
      <c r="C15" s="32" t="s">
        <v>14</v>
      </c>
      <c r="D15" s="10" t="s">
        <v>22</v>
      </c>
      <c r="E15" s="32">
        <v>63</v>
      </c>
      <c r="F15" s="87" t="s">
        <v>1</v>
      </c>
      <c r="G15" s="87" t="s">
        <v>1</v>
      </c>
      <c r="H15" s="86">
        <v>0</v>
      </c>
      <c r="I15" s="86">
        <v>0</v>
      </c>
      <c r="J15" s="86" t="s">
        <v>108</v>
      </c>
      <c r="K15" s="86">
        <v>0</v>
      </c>
      <c r="L15" s="86">
        <v>0</v>
      </c>
      <c r="M15" s="65">
        <v>0</v>
      </c>
      <c r="N15" s="65">
        <v>0</v>
      </c>
      <c r="O15" s="65">
        <v>0</v>
      </c>
      <c r="P15" s="65" t="s">
        <v>119</v>
      </c>
      <c r="Q15" s="65">
        <v>0</v>
      </c>
      <c r="R15" s="65">
        <v>0</v>
      </c>
      <c r="S15" s="86">
        <v>0</v>
      </c>
      <c r="T15" s="31"/>
      <c r="U15" s="32" t="s">
        <v>24</v>
      </c>
      <c r="V15" s="10" t="s">
        <v>17</v>
      </c>
      <c r="W15" s="32" t="s">
        <v>28</v>
      </c>
      <c r="X15" s="32" t="s">
        <v>23</v>
      </c>
      <c r="Y15" s="88" t="s">
        <v>21</v>
      </c>
      <c r="Z15" s="94">
        <v>0.63636363636363635</v>
      </c>
      <c r="AA15" s="33">
        <v>0</v>
      </c>
      <c r="AB15" s="33">
        <v>1</v>
      </c>
      <c r="AC15" s="34">
        <v>0</v>
      </c>
      <c r="AD15" s="35">
        <v>0</v>
      </c>
      <c r="AE15" s="35">
        <v>0.14285714285714285</v>
      </c>
      <c r="AF15" s="34">
        <v>0</v>
      </c>
      <c r="AG15" s="34">
        <v>0</v>
      </c>
      <c r="AH15" s="34">
        <v>4</v>
      </c>
      <c r="AI15" s="34">
        <v>0</v>
      </c>
      <c r="AJ15" s="34">
        <v>0</v>
      </c>
      <c r="AK15" s="95">
        <v>0</v>
      </c>
      <c r="AL15" s="32" t="s">
        <v>2</v>
      </c>
      <c r="AM15" s="117" t="s">
        <v>1</v>
      </c>
      <c r="AN15" s="32">
        <v>0</v>
      </c>
      <c r="AO15" s="32" t="s">
        <v>53</v>
      </c>
      <c r="AP15" s="88">
        <v>0</v>
      </c>
      <c r="AQ15" s="69" t="s">
        <v>1</v>
      </c>
      <c r="AR15" s="89" t="s">
        <v>2</v>
      </c>
      <c r="AS15" s="69" t="s">
        <v>2</v>
      </c>
      <c r="AT15" s="10" t="s">
        <v>0</v>
      </c>
      <c r="AU15" s="7" t="s">
        <v>1</v>
      </c>
      <c r="AV15" s="142" t="s">
        <v>2</v>
      </c>
      <c r="AW15" s="69" t="s">
        <v>2</v>
      </c>
      <c r="AX15" s="145" t="s">
        <v>2</v>
      </c>
      <c r="AY15" s="150" t="s">
        <v>60</v>
      </c>
      <c r="AZ15" s="87">
        <v>1</v>
      </c>
      <c r="BA15" s="2">
        <v>0</v>
      </c>
      <c r="BB15" s="2">
        <v>0</v>
      </c>
      <c r="BC15" s="2">
        <v>0</v>
      </c>
    </row>
    <row r="16" spans="1:55" x14ac:dyDescent="0.25">
      <c r="A16" s="69">
        <v>14</v>
      </c>
      <c r="B16" s="31"/>
      <c r="C16" s="32" t="s">
        <v>14</v>
      </c>
      <c r="D16" s="10" t="s">
        <v>15</v>
      </c>
      <c r="E16" s="32">
        <v>78</v>
      </c>
      <c r="F16" s="87" t="s">
        <v>1</v>
      </c>
      <c r="G16" s="87" t="s">
        <v>1</v>
      </c>
      <c r="H16" s="86">
        <v>0</v>
      </c>
      <c r="I16" s="86">
        <v>0</v>
      </c>
      <c r="J16" s="86">
        <v>0</v>
      </c>
      <c r="K16" s="86">
        <v>0</v>
      </c>
      <c r="L16" s="86" t="s">
        <v>110</v>
      </c>
      <c r="M16" s="65">
        <v>0</v>
      </c>
      <c r="N16" s="65">
        <v>0</v>
      </c>
      <c r="O16" s="65">
        <v>0</v>
      </c>
      <c r="P16" s="65" t="s">
        <v>119</v>
      </c>
      <c r="Q16" s="65">
        <v>0</v>
      </c>
      <c r="R16" s="65">
        <v>0</v>
      </c>
      <c r="S16" s="86">
        <v>0</v>
      </c>
      <c r="T16" s="31"/>
      <c r="U16" s="32" t="s">
        <v>29</v>
      </c>
      <c r="V16" s="10" t="s">
        <v>17</v>
      </c>
      <c r="W16" s="32" t="s">
        <v>28</v>
      </c>
      <c r="X16" s="32" t="s">
        <v>19</v>
      </c>
      <c r="Y16" s="88" t="s">
        <v>21</v>
      </c>
      <c r="Z16" s="94">
        <v>0.2</v>
      </c>
      <c r="AA16" s="33">
        <v>0</v>
      </c>
      <c r="AB16" s="33">
        <v>1</v>
      </c>
      <c r="AC16" s="34">
        <v>0</v>
      </c>
      <c r="AD16" s="35">
        <v>0</v>
      </c>
      <c r="AE16" s="35">
        <v>0.33333333333333331</v>
      </c>
      <c r="AF16" s="34">
        <v>0</v>
      </c>
      <c r="AG16" s="34">
        <v>0</v>
      </c>
      <c r="AH16" s="34">
        <v>2</v>
      </c>
      <c r="AI16" s="34">
        <v>0</v>
      </c>
      <c r="AJ16" s="34">
        <v>0</v>
      </c>
      <c r="AK16" s="95">
        <v>0</v>
      </c>
      <c r="AL16" s="32" t="s">
        <v>2</v>
      </c>
      <c r="AM16" s="116" t="s">
        <v>2</v>
      </c>
      <c r="AN16" s="32" t="s">
        <v>0</v>
      </c>
      <c r="AO16" s="32" t="s">
        <v>0</v>
      </c>
      <c r="AP16" s="88" t="s">
        <v>0</v>
      </c>
      <c r="AQ16" s="69" t="s">
        <v>2</v>
      </c>
      <c r="AR16" s="89" t="s">
        <v>0</v>
      </c>
      <c r="AS16" s="69" t="s">
        <v>2</v>
      </c>
      <c r="AT16" s="10" t="s">
        <v>0</v>
      </c>
      <c r="AU16" s="7" t="s">
        <v>1</v>
      </c>
      <c r="AV16" s="142" t="s">
        <v>2</v>
      </c>
      <c r="AW16" s="69" t="s">
        <v>2</v>
      </c>
      <c r="AX16" s="145" t="s">
        <v>1</v>
      </c>
      <c r="AY16" s="150" t="s">
        <v>61</v>
      </c>
      <c r="AZ16" s="87">
        <v>1</v>
      </c>
      <c r="BA16" s="2">
        <v>0</v>
      </c>
      <c r="BB16" s="2">
        <v>0</v>
      </c>
      <c r="BC16" s="2">
        <v>0</v>
      </c>
    </row>
    <row r="17" spans="1:55" x14ac:dyDescent="0.25">
      <c r="A17" s="69">
        <v>15</v>
      </c>
      <c r="B17" s="31"/>
      <c r="C17" s="32" t="s">
        <v>17</v>
      </c>
      <c r="D17" s="10" t="s">
        <v>15</v>
      </c>
      <c r="E17" s="32">
        <v>84</v>
      </c>
      <c r="F17" s="87" t="s">
        <v>1</v>
      </c>
      <c r="G17" s="87" t="s">
        <v>1</v>
      </c>
      <c r="H17" s="86">
        <v>0</v>
      </c>
      <c r="I17" s="86">
        <v>0</v>
      </c>
      <c r="J17" s="86">
        <v>0</v>
      </c>
      <c r="K17" s="86">
        <v>0</v>
      </c>
      <c r="L17" s="86" t="s">
        <v>110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 t="s">
        <v>121</v>
      </c>
      <c r="S17" s="86">
        <v>0</v>
      </c>
      <c r="T17" s="31"/>
      <c r="U17" s="32" t="s">
        <v>29</v>
      </c>
      <c r="V17" s="10" t="s">
        <v>17</v>
      </c>
      <c r="W17" s="32" t="s">
        <v>28</v>
      </c>
      <c r="X17" s="32" t="s">
        <v>23</v>
      </c>
      <c r="Y17" s="88" t="s">
        <v>21</v>
      </c>
      <c r="Z17" s="96">
        <v>0.4</v>
      </c>
      <c r="AA17" s="36">
        <v>0.25</v>
      </c>
      <c r="AB17" s="36">
        <v>0.75</v>
      </c>
      <c r="AC17" s="37">
        <v>1</v>
      </c>
      <c r="AD17" s="38">
        <v>0.25</v>
      </c>
      <c r="AE17" s="35">
        <v>0.75</v>
      </c>
      <c r="AF17" s="37">
        <v>0</v>
      </c>
      <c r="AG17" s="37">
        <v>0</v>
      </c>
      <c r="AH17" s="37">
        <v>2</v>
      </c>
      <c r="AI17" s="37">
        <v>0</v>
      </c>
      <c r="AJ17" s="37">
        <v>0</v>
      </c>
      <c r="AK17" s="97">
        <v>0</v>
      </c>
      <c r="AL17" s="32" t="s">
        <v>2</v>
      </c>
      <c r="AM17" s="117" t="s">
        <v>1</v>
      </c>
      <c r="AN17" s="32" t="s">
        <v>52</v>
      </c>
      <c r="AO17" s="32">
        <v>0</v>
      </c>
      <c r="AP17" s="88">
        <v>0</v>
      </c>
      <c r="AQ17" s="69" t="s">
        <v>1</v>
      </c>
      <c r="AR17" s="89" t="s">
        <v>2</v>
      </c>
      <c r="AS17" s="69" t="s">
        <v>2</v>
      </c>
      <c r="AT17" s="10" t="s">
        <v>0</v>
      </c>
      <c r="AU17" s="7" t="s">
        <v>1</v>
      </c>
      <c r="AV17" s="142" t="s">
        <v>2</v>
      </c>
      <c r="AW17" s="69" t="s">
        <v>2</v>
      </c>
      <c r="AX17" s="145" t="s">
        <v>1</v>
      </c>
      <c r="AY17" s="150" t="s">
        <v>61</v>
      </c>
      <c r="AZ17" s="87">
        <v>1</v>
      </c>
      <c r="BA17" s="2">
        <v>0</v>
      </c>
      <c r="BB17" s="2">
        <v>0</v>
      </c>
      <c r="BC17" s="2">
        <v>0</v>
      </c>
    </row>
    <row r="18" spans="1:55" x14ac:dyDescent="0.25">
      <c r="A18" s="69">
        <v>16</v>
      </c>
      <c r="B18" s="31"/>
      <c r="C18" s="32" t="s">
        <v>17</v>
      </c>
      <c r="D18" s="10" t="s">
        <v>15</v>
      </c>
      <c r="E18" s="32">
        <v>56</v>
      </c>
      <c r="F18" s="87" t="s">
        <v>1</v>
      </c>
      <c r="G18" s="87" t="s">
        <v>1</v>
      </c>
      <c r="H18" s="86">
        <v>0</v>
      </c>
      <c r="I18" s="86">
        <v>0</v>
      </c>
      <c r="J18" s="86" t="s">
        <v>108</v>
      </c>
      <c r="K18" s="86">
        <v>0</v>
      </c>
      <c r="L18" s="86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 t="s">
        <v>121</v>
      </c>
      <c r="S18" s="86">
        <v>0</v>
      </c>
      <c r="T18" s="31"/>
      <c r="U18" s="32" t="s">
        <v>29</v>
      </c>
      <c r="V18" s="10" t="s">
        <v>17</v>
      </c>
      <c r="W18" s="32" t="s">
        <v>28</v>
      </c>
      <c r="X18" s="32" t="s">
        <v>23</v>
      </c>
      <c r="Y18" s="88" t="s">
        <v>21</v>
      </c>
      <c r="Z18" s="96">
        <v>0.31578947368421051</v>
      </c>
      <c r="AA18" s="36">
        <v>0.16666666666666663</v>
      </c>
      <c r="AB18" s="36">
        <v>0.83333333333333337</v>
      </c>
      <c r="AC18" s="37">
        <v>0</v>
      </c>
      <c r="AD18" s="38">
        <v>0</v>
      </c>
      <c r="AE18" s="35">
        <v>0.8</v>
      </c>
      <c r="AF18" s="37">
        <v>0</v>
      </c>
      <c r="AG18" s="37">
        <v>0</v>
      </c>
      <c r="AH18" s="37">
        <v>2</v>
      </c>
      <c r="AI18" s="37">
        <v>0</v>
      </c>
      <c r="AJ18" s="37">
        <v>0</v>
      </c>
      <c r="AK18" s="97">
        <v>0</v>
      </c>
      <c r="AL18" s="32" t="s">
        <v>2</v>
      </c>
      <c r="AM18" s="117" t="s">
        <v>1</v>
      </c>
      <c r="AN18" s="32" t="s">
        <v>52</v>
      </c>
      <c r="AO18" s="32">
        <v>0</v>
      </c>
      <c r="AP18" s="88">
        <v>0</v>
      </c>
      <c r="AQ18" s="69" t="s">
        <v>2</v>
      </c>
      <c r="AR18" s="89" t="s">
        <v>0</v>
      </c>
      <c r="AS18" s="69" t="s">
        <v>2</v>
      </c>
      <c r="AT18" s="10" t="s">
        <v>0</v>
      </c>
      <c r="AU18" s="7" t="s">
        <v>1</v>
      </c>
      <c r="AV18" s="142" t="s">
        <v>2</v>
      </c>
      <c r="AW18" s="69" t="s">
        <v>2</v>
      </c>
      <c r="AX18" s="145" t="s">
        <v>1</v>
      </c>
      <c r="AY18" s="150" t="s">
        <v>61</v>
      </c>
      <c r="AZ18" s="87">
        <v>1</v>
      </c>
      <c r="BA18" s="2">
        <v>0</v>
      </c>
      <c r="BB18" s="2">
        <v>0</v>
      </c>
      <c r="BC18" s="2">
        <v>0</v>
      </c>
    </row>
    <row r="19" spans="1:55" x14ac:dyDescent="0.25">
      <c r="A19" s="69">
        <v>17</v>
      </c>
      <c r="B19" s="31"/>
      <c r="C19" s="32" t="s">
        <v>14</v>
      </c>
      <c r="D19" s="10" t="s">
        <v>22</v>
      </c>
      <c r="E19" s="32">
        <v>28</v>
      </c>
      <c r="F19" s="87" t="s">
        <v>1</v>
      </c>
      <c r="G19" s="87" t="s">
        <v>1</v>
      </c>
      <c r="H19" s="86">
        <v>0</v>
      </c>
      <c r="I19" s="86" t="s">
        <v>107</v>
      </c>
      <c r="J19" s="86">
        <v>0</v>
      </c>
      <c r="K19" s="86">
        <v>0</v>
      </c>
      <c r="L19" s="86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86" t="s">
        <v>126</v>
      </c>
      <c r="T19" s="31"/>
      <c r="U19" s="32" t="s">
        <v>29</v>
      </c>
      <c r="V19" s="10" t="s">
        <v>17</v>
      </c>
      <c r="W19" s="32" t="s">
        <v>28</v>
      </c>
      <c r="X19" s="32" t="s">
        <v>19</v>
      </c>
      <c r="Y19" s="88" t="s">
        <v>20</v>
      </c>
      <c r="Z19" s="96">
        <v>0.47619047619047616</v>
      </c>
      <c r="AA19" s="36">
        <v>0.30000000000000004</v>
      </c>
      <c r="AB19" s="36">
        <v>0.7</v>
      </c>
      <c r="AC19" s="37">
        <v>3</v>
      </c>
      <c r="AD19" s="38">
        <v>0.3</v>
      </c>
      <c r="AE19" s="35">
        <v>0.3</v>
      </c>
      <c r="AF19" s="37">
        <v>1</v>
      </c>
      <c r="AG19" s="37">
        <v>1</v>
      </c>
      <c r="AH19" s="37">
        <v>2</v>
      </c>
      <c r="AI19" s="37">
        <v>1</v>
      </c>
      <c r="AJ19" s="37">
        <v>1</v>
      </c>
      <c r="AK19" s="97">
        <v>1</v>
      </c>
      <c r="AL19" s="32" t="s">
        <v>2</v>
      </c>
      <c r="AM19" s="116" t="s">
        <v>2</v>
      </c>
      <c r="AN19" s="32" t="s">
        <v>0</v>
      </c>
      <c r="AO19" s="32" t="s">
        <v>0</v>
      </c>
      <c r="AP19" s="88" t="s">
        <v>0</v>
      </c>
      <c r="AQ19" s="69" t="s">
        <v>2</v>
      </c>
      <c r="AR19" s="89" t="s">
        <v>2</v>
      </c>
      <c r="AS19" s="69" t="s">
        <v>2</v>
      </c>
      <c r="AT19" s="10" t="s">
        <v>0</v>
      </c>
      <c r="AU19" s="7" t="s">
        <v>1</v>
      </c>
      <c r="AV19" s="142" t="s">
        <v>2</v>
      </c>
      <c r="AW19" s="69" t="s">
        <v>2</v>
      </c>
      <c r="AX19" s="145" t="s">
        <v>2</v>
      </c>
      <c r="AY19" s="150" t="s">
        <v>61</v>
      </c>
      <c r="AZ19" s="2">
        <v>0</v>
      </c>
      <c r="BA19" s="2">
        <v>0</v>
      </c>
      <c r="BB19" s="2">
        <v>0</v>
      </c>
      <c r="BC19" s="2">
        <v>1</v>
      </c>
    </row>
    <row r="20" spans="1:55" x14ac:dyDescent="0.25">
      <c r="A20" s="69">
        <v>18</v>
      </c>
      <c r="B20" s="31"/>
      <c r="C20" s="32" t="s">
        <v>14</v>
      </c>
      <c r="D20" s="10" t="s">
        <v>25</v>
      </c>
      <c r="E20" s="32">
        <v>66</v>
      </c>
      <c r="F20" s="87" t="s">
        <v>1</v>
      </c>
      <c r="G20" s="87" t="s">
        <v>1</v>
      </c>
      <c r="H20" s="86">
        <v>0</v>
      </c>
      <c r="I20" s="86" t="s">
        <v>107</v>
      </c>
      <c r="J20" s="86">
        <v>0</v>
      </c>
      <c r="K20" s="86">
        <v>0</v>
      </c>
      <c r="L20" s="86">
        <v>0</v>
      </c>
      <c r="M20" s="65">
        <v>0</v>
      </c>
      <c r="N20" s="65">
        <v>0</v>
      </c>
      <c r="O20" s="65">
        <v>0</v>
      </c>
      <c r="P20" s="65" t="s">
        <v>119</v>
      </c>
      <c r="Q20" s="65">
        <v>0</v>
      </c>
      <c r="R20" s="65">
        <v>0</v>
      </c>
      <c r="S20" s="86">
        <v>0</v>
      </c>
      <c r="T20" s="31"/>
      <c r="U20" s="32" t="s">
        <v>30</v>
      </c>
      <c r="V20" s="10" t="s">
        <v>14</v>
      </c>
      <c r="W20" s="32" t="s">
        <v>31</v>
      </c>
      <c r="X20" s="32" t="s">
        <v>23</v>
      </c>
      <c r="Y20" s="88" t="s">
        <v>20</v>
      </c>
      <c r="Z20" s="96">
        <v>0.16</v>
      </c>
      <c r="AA20" s="36">
        <v>0</v>
      </c>
      <c r="AB20" s="36">
        <v>1</v>
      </c>
      <c r="AC20" s="37">
        <v>0</v>
      </c>
      <c r="AD20" s="38">
        <v>0</v>
      </c>
      <c r="AE20" s="35">
        <v>0.5</v>
      </c>
      <c r="AF20" s="37">
        <v>1</v>
      </c>
      <c r="AG20" s="37">
        <v>1</v>
      </c>
      <c r="AH20" s="37">
        <v>2</v>
      </c>
      <c r="AI20" s="37">
        <v>0</v>
      </c>
      <c r="AJ20" s="37">
        <v>0</v>
      </c>
      <c r="AK20" s="97">
        <v>0</v>
      </c>
      <c r="AL20" s="32" t="s">
        <v>2</v>
      </c>
      <c r="AM20" s="117" t="s">
        <v>1</v>
      </c>
      <c r="AN20" s="32">
        <v>0</v>
      </c>
      <c r="AO20" s="32" t="s">
        <v>53</v>
      </c>
      <c r="AP20" s="88">
        <v>0</v>
      </c>
      <c r="AQ20" s="69" t="s">
        <v>1</v>
      </c>
      <c r="AR20" s="89" t="s">
        <v>1</v>
      </c>
      <c r="AS20" s="69" t="s">
        <v>1</v>
      </c>
      <c r="AT20" s="10" t="s">
        <v>45</v>
      </c>
      <c r="AU20" s="7" t="s">
        <v>1</v>
      </c>
      <c r="AV20" s="142" t="s">
        <v>1</v>
      </c>
      <c r="AW20" s="69" t="s">
        <v>2</v>
      </c>
      <c r="AX20" s="145" t="s">
        <v>1</v>
      </c>
      <c r="AY20" s="150" t="s">
        <v>60</v>
      </c>
      <c r="AZ20" s="2">
        <v>0</v>
      </c>
      <c r="BA20" s="2">
        <v>0</v>
      </c>
      <c r="BB20" s="2">
        <v>1</v>
      </c>
      <c r="BC20" s="2">
        <v>0</v>
      </c>
    </row>
    <row r="21" spans="1:55" x14ac:dyDescent="0.25">
      <c r="A21" s="69">
        <v>19</v>
      </c>
      <c r="B21" s="31"/>
      <c r="C21" s="32" t="s">
        <v>14</v>
      </c>
      <c r="D21" s="10" t="s">
        <v>15</v>
      </c>
      <c r="E21" s="32">
        <v>48</v>
      </c>
      <c r="F21" s="87" t="s">
        <v>1</v>
      </c>
      <c r="G21" s="87" t="s">
        <v>1</v>
      </c>
      <c r="H21" s="86">
        <v>0</v>
      </c>
      <c r="I21" s="86" t="s">
        <v>107</v>
      </c>
      <c r="J21" s="86">
        <v>0</v>
      </c>
      <c r="K21" s="86">
        <v>0</v>
      </c>
      <c r="L21" s="86">
        <v>0</v>
      </c>
      <c r="M21" s="65">
        <v>0</v>
      </c>
      <c r="N21" s="65">
        <v>0</v>
      </c>
      <c r="O21" s="65" t="s">
        <v>118</v>
      </c>
      <c r="P21" s="65">
        <v>0</v>
      </c>
      <c r="Q21" s="65">
        <v>0</v>
      </c>
      <c r="R21" s="65">
        <v>0</v>
      </c>
      <c r="S21" s="86">
        <v>0</v>
      </c>
      <c r="T21" s="31"/>
      <c r="U21" s="32" t="s">
        <v>30</v>
      </c>
      <c r="V21" s="10" t="s">
        <v>14</v>
      </c>
      <c r="W21" s="32" t="s">
        <v>31</v>
      </c>
      <c r="X21" s="32" t="s">
        <v>19</v>
      </c>
      <c r="Y21" s="9" t="s">
        <v>20</v>
      </c>
      <c r="Z21" s="96">
        <v>0.51162790697674421</v>
      </c>
      <c r="AA21" s="36">
        <v>9.0909090909090939E-2</v>
      </c>
      <c r="AB21" s="36">
        <v>0.90909090909090906</v>
      </c>
      <c r="AC21" s="37">
        <v>2</v>
      </c>
      <c r="AD21" s="38">
        <v>9.0909090909090912E-2</v>
      </c>
      <c r="AE21" s="35">
        <v>0.27272727272727271</v>
      </c>
      <c r="AF21" s="37">
        <v>0</v>
      </c>
      <c r="AG21" s="37">
        <v>0</v>
      </c>
      <c r="AH21" s="37">
        <v>4</v>
      </c>
      <c r="AI21" s="37">
        <v>0</v>
      </c>
      <c r="AJ21" s="37">
        <v>0</v>
      </c>
      <c r="AK21" s="97">
        <v>0</v>
      </c>
      <c r="AL21" s="32" t="s">
        <v>1</v>
      </c>
      <c r="AM21" s="117" t="s">
        <v>1</v>
      </c>
      <c r="AN21" s="32">
        <v>0</v>
      </c>
      <c r="AO21" s="32">
        <v>0</v>
      </c>
      <c r="AP21" s="118" t="s">
        <v>54</v>
      </c>
      <c r="AQ21" s="69" t="s">
        <v>1</v>
      </c>
      <c r="AR21" s="89" t="s">
        <v>1</v>
      </c>
      <c r="AS21" s="69" t="s">
        <v>1</v>
      </c>
      <c r="AT21" s="10" t="s">
        <v>45</v>
      </c>
      <c r="AU21" s="7" t="s">
        <v>1</v>
      </c>
      <c r="AV21" s="142" t="s">
        <v>2</v>
      </c>
      <c r="AW21" s="69" t="s">
        <v>2</v>
      </c>
      <c r="AX21" s="145" t="s">
        <v>1</v>
      </c>
      <c r="AY21" s="150" t="s">
        <v>60</v>
      </c>
      <c r="AZ21" s="2">
        <v>0</v>
      </c>
      <c r="BA21" s="2">
        <v>1</v>
      </c>
      <c r="BB21" s="2">
        <v>0</v>
      </c>
      <c r="BC21" s="2">
        <v>0</v>
      </c>
    </row>
    <row r="22" spans="1:55" x14ac:dyDescent="0.25">
      <c r="A22" s="69">
        <v>20</v>
      </c>
      <c r="B22" s="31"/>
      <c r="C22" s="32" t="s">
        <v>14</v>
      </c>
      <c r="D22" s="10" t="s">
        <v>15</v>
      </c>
      <c r="E22" s="32">
        <v>64</v>
      </c>
      <c r="F22" s="87" t="s">
        <v>1</v>
      </c>
      <c r="G22" s="87" t="s">
        <v>1</v>
      </c>
      <c r="H22" s="86">
        <v>0</v>
      </c>
      <c r="I22" s="86">
        <v>0</v>
      </c>
      <c r="J22" s="86" t="s">
        <v>108</v>
      </c>
      <c r="K22" s="86">
        <v>0</v>
      </c>
      <c r="L22" s="86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 t="s">
        <v>121</v>
      </c>
      <c r="S22" s="86">
        <v>0</v>
      </c>
      <c r="T22" s="31"/>
      <c r="U22" s="32" t="s">
        <v>30</v>
      </c>
      <c r="V22" s="10" t="s">
        <v>14</v>
      </c>
      <c r="W22" s="32" t="s">
        <v>31</v>
      </c>
      <c r="X22" s="32" t="s">
        <v>23</v>
      </c>
      <c r="Y22" s="9" t="s">
        <v>21</v>
      </c>
      <c r="Z22" s="96">
        <v>0.36842105263157893</v>
      </c>
      <c r="AA22" s="36">
        <v>0.1428571428571429</v>
      </c>
      <c r="AB22" s="36">
        <v>0.8571428571428571</v>
      </c>
      <c r="AC22" s="37">
        <v>1</v>
      </c>
      <c r="AD22" s="38">
        <v>0.14285714285714285</v>
      </c>
      <c r="AE22" s="35">
        <v>0.2857142857142857</v>
      </c>
      <c r="AF22" s="37">
        <v>0</v>
      </c>
      <c r="AG22" s="37">
        <v>0</v>
      </c>
      <c r="AH22" s="37">
        <v>2</v>
      </c>
      <c r="AI22" s="37">
        <v>0</v>
      </c>
      <c r="AJ22" s="37">
        <v>0</v>
      </c>
      <c r="AK22" s="97">
        <v>0</v>
      </c>
      <c r="AL22" s="32" t="s">
        <v>2</v>
      </c>
      <c r="AM22" s="117" t="s">
        <v>1</v>
      </c>
      <c r="AN22" s="32" t="s">
        <v>52</v>
      </c>
      <c r="AO22" s="32">
        <v>0</v>
      </c>
      <c r="AP22" s="88">
        <v>0</v>
      </c>
      <c r="AQ22" s="69" t="s">
        <v>1</v>
      </c>
      <c r="AR22" s="89" t="s">
        <v>1</v>
      </c>
      <c r="AS22" s="69" t="s">
        <v>2</v>
      </c>
      <c r="AT22" s="10" t="s">
        <v>0</v>
      </c>
      <c r="AU22" s="7" t="s">
        <v>1</v>
      </c>
      <c r="AV22" s="142" t="s">
        <v>51</v>
      </c>
      <c r="AW22" s="69" t="s">
        <v>2</v>
      </c>
      <c r="AX22" s="145" t="s">
        <v>2</v>
      </c>
      <c r="AY22" s="150" t="s">
        <v>61</v>
      </c>
      <c r="AZ22" s="2">
        <v>0</v>
      </c>
      <c r="BA22" s="2">
        <v>0</v>
      </c>
      <c r="BB22" s="2">
        <v>1</v>
      </c>
      <c r="BC22" s="2">
        <v>0</v>
      </c>
    </row>
    <row r="23" spans="1:55" x14ac:dyDescent="0.25">
      <c r="A23" s="69">
        <v>21</v>
      </c>
      <c r="B23" s="31"/>
      <c r="C23" s="32" t="s">
        <v>14</v>
      </c>
      <c r="D23" s="10" t="s">
        <v>15</v>
      </c>
      <c r="E23" s="32">
        <v>70</v>
      </c>
      <c r="F23" s="87" t="s">
        <v>1</v>
      </c>
      <c r="G23" s="87" t="s">
        <v>1</v>
      </c>
      <c r="H23" s="86">
        <v>0</v>
      </c>
      <c r="I23" s="86" t="s">
        <v>107</v>
      </c>
      <c r="J23" s="86">
        <v>0</v>
      </c>
      <c r="K23" s="86">
        <v>0</v>
      </c>
      <c r="L23" s="86">
        <v>0</v>
      </c>
      <c r="M23" s="65">
        <v>0</v>
      </c>
      <c r="N23" s="65">
        <v>0</v>
      </c>
      <c r="O23" s="65">
        <v>0</v>
      </c>
      <c r="P23" s="65">
        <v>0</v>
      </c>
      <c r="Q23" s="65" t="s">
        <v>120</v>
      </c>
      <c r="R23" s="65">
        <v>0</v>
      </c>
      <c r="S23" s="86">
        <v>0</v>
      </c>
      <c r="T23" s="31"/>
      <c r="U23" s="32" t="s">
        <v>30</v>
      </c>
      <c r="V23" s="10" t="s">
        <v>14</v>
      </c>
      <c r="W23" s="32" t="s">
        <v>31</v>
      </c>
      <c r="X23" s="6" t="s">
        <v>23</v>
      </c>
      <c r="Y23" s="9" t="s">
        <v>21</v>
      </c>
      <c r="Z23" s="96">
        <v>0.375</v>
      </c>
      <c r="AA23" s="36">
        <v>0.16666666666666663</v>
      </c>
      <c r="AB23" s="36">
        <v>0.83333333333333337</v>
      </c>
      <c r="AC23" s="37">
        <v>1</v>
      </c>
      <c r="AD23" s="38">
        <v>9.0909090909090912E-2</v>
      </c>
      <c r="AE23" s="35">
        <v>0.18181818181818182</v>
      </c>
      <c r="AF23" s="37">
        <v>1</v>
      </c>
      <c r="AG23" s="37">
        <v>1</v>
      </c>
      <c r="AH23" s="37">
        <v>1</v>
      </c>
      <c r="AI23" s="37">
        <v>1</v>
      </c>
      <c r="AJ23" s="37">
        <v>0</v>
      </c>
      <c r="AK23" s="97">
        <v>0</v>
      </c>
      <c r="AL23" s="32" t="s">
        <v>1</v>
      </c>
      <c r="AM23" s="116" t="s">
        <v>2</v>
      </c>
      <c r="AN23" s="32" t="s">
        <v>0</v>
      </c>
      <c r="AO23" s="32" t="s">
        <v>0</v>
      </c>
      <c r="AP23" s="88" t="s">
        <v>0</v>
      </c>
      <c r="AQ23" s="69" t="s">
        <v>1</v>
      </c>
      <c r="AR23" s="89" t="s">
        <v>2</v>
      </c>
      <c r="AS23" s="69" t="s">
        <v>2</v>
      </c>
      <c r="AT23" s="10" t="s">
        <v>0</v>
      </c>
      <c r="AU23" s="7" t="s">
        <v>1</v>
      </c>
      <c r="AV23" s="142" t="s">
        <v>51</v>
      </c>
      <c r="AW23" s="69" t="s">
        <v>1</v>
      </c>
      <c r="AX23" s="145" t="s">
        <v>2</v>
      </c>
      <c r="AY23" s="150" t="s">
        <v>61</v>
      </c>
      <c r="AZ23" s="2">
        <v>0</v>
      </c>
      <c r="BA23" s="2">
        <v>0</v>
      </c>
      <c r="BB23" s="2">
        <v>1</v>
      </c>
      <c r="BC23" s="2">
        <v>0</v>
      </c>
    </row>
    <row r="24" spans="1:55" x14ac:dyDescent="0.25">
      <c r="A24" s="69">
        <v>22</v>
      </c>
      <c r="B24" s="31"/>
      <c r="C24" s="32" t="s">
        <v>14</v>
      </c>
      <c r="D24" s="10" t="s">
        <v>27</v>
      </c>
      <c r="E24" s="32">
        <v>35</v>
      </c>
      <c r="F24" s="87" t="s">
        <v>1</v>
      </c>
      <c r="G24" s="87" t="s">
        <v>1</v>
      </c>
      <c r="H24" s="86">
        <v>0</v>
      </c>
      <c r="I24" s="86" t="s">
        <v>107</v>
      </c>
      <c r="J24" s="86">
        <v>0</v>
      </c>
      <c r="K24" s="86">
        <v>0</v>
      </c>
      <c r="L24" s="86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86" t="s">
        <v>127</v>
      </c>
      <c r="T24" s="31"/>
      <c r="U24" s="32" t="s">
        <v>29</v>
      </c>
      <c r="V24" s="10" t="s">
        <v>17</v>
      </c>
      <c r="W24" s="32" t="s">
        <v>32</v>
      </c>
      <c r="X24" s="6" t="s">
        <v>23</v>
      </c>
      <c r="Y24" s="9" t="s">
        <v>20</v>
      </c>
      <c r="Z24" s="94">
        <v>0.85</v>
      </c>
      <c r="AA24" s="33">
        <v>0.3529411764705882</v>
      </c>
      <c r="AB24" s="33">
        <v>0.6470588235294118</v>
      </c>
      <c r="AC24" s="34">
        <v>3</v>
      </c>
      <c r="AD24" s="35">
        <v>0.21428571428571427</v>
      </c>
      <c r="AE24" s="35">
        <v>0.35714285714285715</v>
      </c>
      <c r="AF24" s="34">
        <v>0</v>
      </c>
      <c r="AG24" s="34">
        <v>0</v>
      </c>
      <c r="AH24" s="34">
        <v>3</v>
      </c>
      <c r="AI24" s="34">
        <v>0</v>
      </c>
      <c r="AJ24" s="34">
        <v>0</v>
      </c>
      <c r="AK24" s="97">
        <v>0</v>
      </c>
      <c r="AL24" s="32" t="s">
        <v>2</v>
      </c>
      <c r="AM24" s="117" t="s">
        <v>1</v>
      </c>
      <c r="AN24" s="32">
        <v>0</v>
      </c>
      <c r="AO24" s="32" t="s">
        <v>53</v>
      </c>
      <c r="AP24" s="88">
        <v>0</v>
      </c>
      <c r="AQ24" s="69" t="s">
        <v>1</v>
      </c>
      <c r="AR24" s="89" t="s">
        <v>1</v>
      </c>
      <c r="AS24" s="69" t="s">
        <v>1</v>
      </c>
      <c r="AT24" s="10" t="s">
        <v>45</v>
      </c>
      <c r="AU24" s="7" t="s">
        <v>1</v>
      </c>
      <c r="AV24" s="142" t="s">
        <v>2</v>
      </c>
      <c r="AW24" s="69" t="s">
        <v>2</v>
      </c>
      <c r="AX24" s="145" t="s">
        <v>1</v>
      </c>
      <c r="AY24" s="150" t="s">
        <v>61</v>
      </c>
      <c r="AZ24" s="87">
        <v>1</v>
      </c>
      <c r="BA24" s="2">
        <v>0</v>
      </c>
      <c r="BB24" s="2">
        <v>0</v>
      </c>
      <c r="BC24" s="2">
        <v>0</v>
      </c>
    </row>
    <row r="25" spans="1:55" x14ac:dyDescent="0.25">
      <c r="A25" s="69">
        <v>23</v>
      </c>
      <c r="B25" s="31"/>
      <c r="C25" s="32" t="s">
        <v>14</v>
      </c>
      <c r="D25" s="10" t="s">
        <v>15</v>
      </c>
      <c r="E25" s="32">
        <v>26</v>
      </c>
      <c r="F25" s="87" t="s">
        <v>1</v>
      </c>
      <c r="G25" s="87" t="s">
        <v>1</v>
      </c>
      <c r="H25" s="86">
        <v>0</v>
      </c>
      <c r="I25" s="86" t="s">
        <v>107</v>
      </c>
      <c r="J25" s="86">
        <v>0</v>
      </c>
      <c r="K25" s="86">
        <v>0</v>
      </c>
      <c r="L25" s="86">
        <v>0</v>
      </c>
      <c r="M25" s="65">
        <v>0</v>
      </c>
      <c r="N25" s="65" t="s">
        <v>117</v>
      </c>
      <c r="O25" s="65">
        <v>0</v>
      </c>
      <c r="P25" s="65">
        <v>0</v>
      </c>
      <c r="Q25" s="65">
        <v>0</v>
      </c>
      <c r="R25" s="65">
        <v>0</v>
      </c>
      <c r="S25" s="86">
        <v>0</v>
      </c>
      <c r="T25" s="31"/>
      <c r="U25" s="32" t="s">
        <v>29</v>
      </c>
      <c r="V25" s="10" t="s">
        <v>17</v>
      </c>
      <c r="W25" s="32" t="s">
        <v>32</v>
      </c>
      <c r="X25" s="6" t="s">
        <v>23</v>
      </c>
      <c r="Y25" s="9" t="s">
        <v>20</v>
      </c>
      <c r="Z25" s="94">
        <v>0.68421052631578949</v>
      </c>
      <c r="AA25" s="33">
        <v>0.15384615384615385</v>
      </c>
      <c r="AB25" s="33">
        <v>0.84615384615384615</v>
      </c>
      <c r="AC25" s="34">
        <v>2</v>
      </c>
      <c r="AD25" s="35">
        <v>0.15384615384615385</v>
      </c>
      <c r="AE25" s="35">
        <v>0.15384615384615385</v>
      </c>
      <c r="AF25" s="34">
        <v>0</v>
      </c>
      <c r="AG25" s="34">
        <v>0</v>
      </c>
      <c r="AH25" s="34">
        <v>3</v>
      </c>
      <c r="AI25" s="34">
        <v>0</v>
      </c>
      <c r="AJ25" s="34">
        <v>0</v>
      </c>
      <c r="AK25" s="97">
        <v>0</v>
      </c>
      <c r="AL25" s="32" t="s">
        <v>1</v>
      </c>
      <c r="AM25" s="117" t="s">
        <v>1</v>
      </c>
      <c r="AN25" s="32">
        <v>0</v>
      </c>
      <c r="AO25" s="32">
        <v>0</v>
      </c>
      <c r="AP25" s="118" t="s">
        <v>54</v>
      </c>
      <c r="AQ25" s="69" t="s">
        <v>1</v>
      </c>
      <c r="AR25" s="89" t="s">
        <v>2</v>
      </c>
      <c r="AS25" s="69" t="s">
        <v>2</v>
      </c>
      <c r="AT25" s="10" t="s">
        <v>0</v>
      </c>
      <c r="AU25" s="7" t="s">
        <v>1</v>
      </c>
      <c r="AV25" s="142" t="s">
        <v>2</v>
      </c>
      <c r="AW25" s="69" t="s">
        <v>2</v>
      </c>
      <c r="AX25" s="145" t="s">
        <v>1</v>
      </c>
      <c r="AY25" s="150" t="s">
        <v>61</v>
      </c>
      <c r="AZ25" s="87">
        <v>1</v>
      </c>
      <c r="BA25" s="2">
        <v>0</v>
      </c>
      <c r="BB25" s="2">
        <v>0</v>
      </c>
      <c r="BC25" s="2">
        <v>0</v>
      </c>
    </row>
    <row r="26" spans="1:55" x14ac:dyDescent="0.25">
      <c r="A26" s="69">
        <v>24</v>
      </c>
      <c r="B26" s="31"/>
      <c r="C26" s="32" t="s">
        <v>17</v>
      </c>
      <c r="D26" s="10" t="s">
        <v>22</v>
      </c>
      <c r="E26" s="32">
        <v>73</v>
      </c>
      <c r="F26" s="87" t="s">
        <v>1</v>
      </c>
      <c r="G26" s="87" t="s">
        <v>1</v>
      </c>
      <c r="H26" s="86">
        <v>0</v>
      </c>
      <c r="I26" s="86">
        <v>0</v>
      </c>
      <c r="J26" s="86">
        <v>0</v>
      </c>
      <c r="K26" s="86">
        <v>0</v>
      </c>
      <c r="L26" s="86" t="s">
        <v>110</v>
      </c>
      <c r="M26" s="65">
        <v>0</v>
      </c>
      <c r="N26" s="65">
        <v>0</v>
      </c>
      <c r="O26" s="65">
        <v>0</v>
      </c>
      <c r="P26" s="65">
        <v>0</v>
      </c>
      <c r="Q26" s="65" t="s">
        <v>120</v>
      </c>
      <c r="R26" s="65">
        <v>0</v>
      </c>
      <c r="S26" s="86">
        <v>0</v>
      </c>
      <c r="T26" s="31"/>
      <c r="U26" s="32" t="s">
        <v>29</v>
      </c>
      <c r="V26" s="10" t="s">
        <v>17</v>
      </c>
      <c r="W26" s="32" t="s">
        <v>32</v>
      </c>
      <c r="X26" s="6" t="s">
        <v>23</v>
      </c>
      <c r="Y26" s="9" t="s">
        <v>21</v>
      </c>
      <c r="Z26" s="94">
        <v>0.86956521739130432</v>
      </c>
      <c r="AA26" s="33">
        <v>0.19999999999999996</v>
      </c>
      <c r="AB26" s="33">
        <v>0.8</v>
      </c>
      <c r="AC26" s="34">
        <v>1</v>
      </c>
      <c r="AD26" s="35">
        <v>5.8823529411764705E-2</v>
      </c>
      <c r="AE26" s="35">
        <v>0.29411764705882354</v>
      </c>
      <c r="AF26" s="34">
        <v>0</v>
      </c>
      <c r="AG26" s="34">
        <v>0</v>
      </c>
      <c r="AH26" s="34">
        <v>1</v>
      </c>
      <c r="AI26" s="34">
        <v>0</v>
      </c>
      <c r="AJ26" s="34">
        <v>0</v>
      </c>
      <c r="AK26" s="97">
        <v>0</v>
      </c>
      <c r="AL26" s="32" t="s">
        <v>2</v>
      </c>
      <c r="AM26" s="117" t="s">
        <v>1</v>
      </c>
      <c r="AN26" s="32">
        <v>0</v>
      </c>
      <c r="AO26" s="32" t="s">
        <v>53</v>
      </c>
      <c r="AP26" s="88">
        <v>0</v>
      </c>
      <c r="AQ26" s="69" t="s">
        <v>1</v>
      </c>
      <c r="AR26" s="89" t="s">
        <v>2</v>
      </c>
      <c r="AS26" s="69" t="s">
        <v>2</v>
      </c>
      <c r="AT26" s="10" t="s">
        <v>0</v>
      </c>
      <c r="AU26" s="7" t="s">
        <v>2</v>
      </c>
      <c r="AV26" s="142" t="s">
        <v>2</v>
      </c>
      <c r="AW26" s="69" t="s">
        <v>1</v>
      </c>
      <c r="AX26" s="145" t="s">
        <v>1</v>
      </c>
      <c r="AY26" s="150" t="s">
        <v>61</v>
      </c>
      <c r="AZ26" s="87">
        <v>1</v>
      </c>
      <c r="BA26" s="2">
        <v>0</v>
      </c>
      <c r="BB26" s="2">
        <v>0</v>
      </c>
      <c r="BC26" s="2">
        <v>0</v>
      </c>
    </row>
    <row r="27" spans="1:55" x14ac:dyDescent="0.25">
      <c r="A27" s="69">
        <v>25</v>
      </c>
      <c r="B27" s="31"/>
      <c r="C27" s="32" t="s">
        <v>14</v>
      </c>
      <c r="D27" s="10" t="s">
        <v>15</v>
      </c>
      <c r="E27" s="32">
        <v>85</v>
      </c>
      <c r="F27" s="87" t="s">
        <v>1</v>
      </c>
      <c r="G27" s="87" t="s">
        <v>1</v>
      </c>
      <c r="H27" s="86">
        <v>0</v>
      </c>
      <c r="I27" s="86">
        <v>0</v>
      </c>
      <c r="J27" s="86">
        <v>0</v>
      </c>
      <c r="K27" s="86">
        <v>0</v>
      </c>
      <c r="L27" s="86" t="s">
        <v>110</v>
      </c>
      <c r="M27" s="65">
        <v>0</v>
      </c>
      <c r="N27" s="65">
        <v>0</v>
      </c>
      <c r="O27" s="65">
        <v>0</v>
      </c>
      <c r="P27" s="65" t="s">
        <v>119</v>
      </c>
      <c r="Q27" s="65">
        <v>0</v>
      </c>
      <c r="R27" s="65">
        <v>0</v>
      </c>
      <c r="S27" s="86">
        <v>0</v>
      </c>
      <c r="T27" s="31"/>
      <c r="U27" s="32" t="s">
        <v>16</v>
      </c>
      <c r="V27" s="10" t="s">
        <v>17</v>
      </c>
      <c r="W27" s="32" t="s">
        <v>31</v>
      </c>
      <c r="X27" s="6" t="s">
        <v>23</v>
      </c>
      <c r="Y27" s="88" t="s">
        <v>21</v>
      </c>
      <c r="Z27" s="96">
        <v>0.55319148936170215</v>
      </c>
      <c r="AA27" s="36">
        <v>3.8461538461538436E-2</v>
      </c>
      <c r="AB27" s="36">
        <v>0.96153846153846156</v>
      </c>
      <c r="AC27" s="37">
        <v>0</v>
      </c>
      <c r="AD27" s="38">
        <v>0</v>
      </c>
      <c r="AE27" s="35">
        <v>0.42307692307692307</v>
      </c>
      <c r="AF27" s="37">
        <v>0</v>
      </c>
      <c r="AG27" s="37">
        <v>0</v>
      </c>
      <c r="AH27" s="37">
        <v>6</v>
      </c>
      <c r="AI27" s="37">
        <v>0</v>
      </c>
      <c r="AJ27" s="37">
        <v>0</v>
      </c>
      <c r="AK27" s="97">
        <v>0</v>
      </c>
      <c r="AL27" s="32" t="s">
        <v>1</v>
      </c>
      <c r="AM27" s="116" t="s">
        <v>2</v>
      </c>
      <c r="AN27" s="32" t="s">
        <v>0</v>
      </c>
      <c r="AO27" s="32" t="s">
        <v>0</v>
      </c>
      <c r="AP27" s="88" t="s">
        <v>0</v>
      </c>
      <c r="AQ27" s="69" t="s">
        <v>1</v>
      </c>
      <c r="AR27" s="89" t="s">
        <v>2</v>
      </c>
      <c r="AS27" s="69" t="s">
        <v>2</v>
      </c>
      <c r="AT27" s="10" t="s">
        <v>0</v>
      </c>
      <c r="AU27" s="7" t="s">
        <v>1</v>
      </c>
      <c r="AV27" s="142" t="s">
        <v>51</v>
      </c>
      <c r="AW27" s="69" t="s">
        <v>1</v>
      </c>
      <c r="AX27" s="145" t="s">
        <v>1</v>
      </c>
      <c r="AY27" s="150" t="s">
        <v>60</v>
      </c>
      <c r="AZ27" s="2">
        <v>0</v>
      </c>
      <c r="BA27" s="2">
        <v>1</v>
      </c>
      <c r="BB27" s="2">
        <v>0</v>
      </c>
      <c r="BC27" s="2">
        <v>0</v>
      </c>
    </row>
    <row r="28" spans="1:55" x14ac:dyDescent="0.25">
      <c r="A28" s="69">
        <v>26</v>
      </c>
      <c r="B28" s="31"/>
      <c r="C28" s="32" t="s">
        <v>14</v>
      </c>
      <c r="D28" s="10" t="s">
        <v>15</v>
      </c>
      <c r="E28" s="32">
        <v>69</v>
      </c>
      <c r="F28" s="87" t="s">
        <v>1</v>
      </c>
      <c r="G28" s="87" t="s">
        <v>1</v>
      </c>
      <c r="H28" s="86">
        <v>0</v>
      </c>
      <c r="I28" s="86">
        <v>0</v>
      </c>
      <c r="J28" s="86">
        <v>0</v>
      </c>
      <c r="K28" s="86">
        <v>0</v>
      </c>
      <c r="L28" s="86" t="s">
        <v>110</v>
      </c>
      <c r="M28" s="65">
        <v>0</v>
      </c>
      <c r="N28" s="65">
        <v>0</v>
      </c>
      <c r="O28" s="65">
        <v>0</v>
      </c>
      <c r="P28" s="65" t="s">
        <v>119</v>
      </c>
      <c r="Q28" s="65">
        <v>0</v>
      </c>
      <c r="R28" s="65">
        <v>0</v>
      </c>
      <c r="S28" s="86">
        <v>0</v>
      </c>
      <c r="T28" s="31"/>
      <c r="U28" s="32" t="s">
        <v>16</v>
      </c>
      <c r="V28" s="10" t="s">
        <v>17</v>
      </c>
      <c r="W28" s="32" t="s">
        <v>31</v>
      </c>
      <c r="X28" s="32" t="s">
        <v>23</v>
      </c>
      <c r="Y28" s="88" t="s">
        <v>21</v>
      </c>
      <c r="Z28" s="96">
        <v>0.48</v>
      </c>
      <c r="AA28" s="36">
        <v>0.16666666666666663</v>
      </c>
      <c r="AB28" s="36">
        <v>0.83333333333333337</v>
      </c>
      <c r="AC28" s="37">
        <v>2</v>
      </c>
      <c r="AD28" s="38">
        <v>0.16666666666666666</v>
      </c>
      <c r="AE28" s="35">
        <v>0.41666666666666669</v>
      </c>
      <c r="AF28" s="37">
        <v>0</v>
      </c>
      <c r="AG28" s="37">
        <v>0</v>
      </c>
      <c r="AH28" s="37">
        <v>1</v>
      </c>
      <c r="AI28" s="37">
        <v>0</v>
      </c>
      <c r="AJ28" s="37">
        <v>0</v>
      </c>
      <c r="AK28" s="97">
        <v>0</v>
      </c>
      <c r="AL28" s="32" t="s">
        <v>1</v>
      </c>
      <c r="AM28" s="117" t="s">
        <v>1</v>
      </c>
      <c r="AN28" s="32">
        <v>0</v>
      </c>
      <c r="AO28" s="32" t="s">
        <v>53</v>
      </c>
      <c r="AP28" s="88">
        <v>0</v>
      </c>
      <c r="AQ28" s="69" t="s">
        <v>1</v>
      </c>
      <c r="AR28" s="89" t="s">
        <v>2</v>
      </c>
      <c r="AS28" s="69" t="s">
        <v>1</v>
      </c>
      <c r="AT28" s="10" t="s">
        <v>45</v>
      </c>
      <c r="AU28" s="7" t="s">
        <v>1</v>
      </c>
      <c r="AV28" s="142" t="s">
        <v>2</v>
      </c>
      <c r="AW28" s="69" t="s">
        <v>2</v>
      </c>
      <c r="AX28" s="145" t="s">
        <v>1</v>
      </c>
      <c r="AY28" s="150" t="s">
        <v>61</v>
      </c>
      <c r="AZ28" s="87">
        <v>1</v>
      </c>
      <c r="BA28" s="2">
        <v>0</v>
      </c>
      <c r="BB28" s="2">
        <v>0</v>
      </c>
      <c r="BC28" s="2">
        <v>0</v>
      </c>
    </row>
    <row r="29" spans="1:55" ht="30" x14ac:dyDescent="0.25">
      <c r="A29" s="69">
        <v>27</v>
      </c>
      <c r="B29" s="31"/>
      <c r="C29" s="32" t="s">
        <v>14</v>
      </c>
      <c r="D29" s="10" t="s">
        <v>15</v>
      </c>
      <c r="E29" s="32">
        <v>70</v>
      </c>
      <c r="F29" s="87" t="s">
        <v>1</v>
      </c>
      <c r="G29" s="87" t="s">
        <v>1</v>
      </c>
      <c r="H29" s="86">
        <v>0</v>
      </c>
      <c r="I29" s="86">
        <v>0</v>
      </c>
      <c r="J29" s="86">
        <v>0</v>
      </c>
      <c r="K29" s="86">
        <v>0</v>
      </c>
      <c r="L29" s="86" t="s">
        <v>110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86" t="s">
        <v>128</v>
      </c>
      <c r="T29" s="31"/>
      <c r="U29" s="32" t="s">
        <v>16</v>
      </c>
      <c r="V29" s="10" t="s">
        <v>17</v>
      </c>
      <c r="W29" s="32" t="s">
        <v>31</v>
      </c>
      <c r="X29" s="32" t="s">
        <v>23</v>
      </c>
      <c r="Y29" s="88" t="s">
        <v>21</v>
      </c>
      <c r="Z29" s="94">
        <v>0.65517241379310343</v>
      </c>
      <c r="AA29" s="33">
        <v>0.15789473684210531</v>
      </c>
      <c r="AB29" s="33">
        <v>0.84210526315789469</v>
      </c>
      <c r="AC29" s="34">
        <v>3</v>
      </c>
      <c r="AD29" s="35">
        <v>0.16666666666666666</v>
      </c>
      <c r="AE29" s="35">
        <v>0.27777777777777779</v>
      </c>
      <c r="AF29" s="34">
        <v>0</v>
      </c>
      <c r="AG29" s="34">
        <v>0</v>
      </c>
      <c r="AH29" s="34">
        <v>4</v>
      </c>
      <c r="AI29" s="34">
        <v>0</v>
      </c>
      <c r="AJ29" s="34">
        <v>0</v>
      </c>
      <c r="AK29" s="97">
        <v>0</v>
      </c>
      <c r="AL29" s="32" t="s">
        <v>1</v>
      </c>
      <c r="AM29" s="116" t="s">
        <v>2</v>
      </c>
      <c r="AN29" s="32" t="s">
        <v>0</v>
      </c>
      <c r="AO29" s="32" t="s">
        <v>0</v>
      </c>
      <c r="AP29" s="88" t="s">
        <v>0</v>
      </c>
      <c r="AQ29" s="69" t="s">
        <v>1</v>
      </c>
      <c r="AR29" s="89" t="s">
        <v>1</v>
      </c>
      <c r="AS29" s="69" t="s">
        <v>1</v>
      </c>
      <c r="AT29" s="10" t="s">
        <v>45</v>
      </c>
      <c r="AU29" s="7" t="s">
        <v>2</v>
      </c>
      <c r="AV29" s="142" t="s">
        <v>2</v>
      </c>
      <c r="AW29" s="69" t="s">
        <v>2</v>
      </c>
      <c r="AX29" s="145" t="s">
        <v>0</v>
      </c>
      <c r="AY29" s="150" t="s">
        <v>62</v>
      </c>
      <c r="AZ29" s="2">
        <v>0</v>
      </c>
      <c r="BA29" s="2">
        <v>1</v>
      </c>
      <c r="BB29" s="2">
        <v>0</v>
      </c>
      <c r="BC29" s="2">
        <v>0</v>
      </c>
    </row>
    <row r="30" spans="1:55" x14ac:dyDescent="0.25">
      <c r="A30" s="69">
        <v>28</v>
      </c>
      <c r="B30" s="31"/>
      <c r="C30" s="10" t="s">
        <v>14</v>
      </c>
      <c r="D30" s="10" t="s">
        <v>15</v>
      </c>
      <c r="E30" s="32">
        <v>65</v>
      </c>
      <c r="F30" s="87" t="s">
        <v>1</v>
      </c>
      <c r="G30" s="87" t="s">
        <v>1</v>
      </c>
      <c r="H30" s="86">
        <v>0</v>
      </c>
      <c r="I30" s="86">
        <v>0</v>
      </c>
      <c r="J30" s="86" t="s">
        <v>108</v>
      </c>
      <c r="K30" s="86">
        <v>0</v>
      </c>
      <c r="L30" s="86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 t="s">
        <v>121</v>
      </c>
      <c r="S30" s="86">
        <v>0</v>
      </c>
      <c r="T30" s="31"/>
      <c r="U30" s="32" t="s">
        <v>29</v>
      </c>
      <c r="V30" s="10" t="s">
        <v>17</v>
      </c>
      <c r="W30" s="32" t="s">
        <v>33</v>
      </c>
      <c r="X30" s="32" t="s">
        <v>19</v>
      </c>
      <c r="Y30" s="88" t="s">
        <v>20</v>
      </c>
      <c r="Z30" s="96">
        <v>0.54545454545454541</v>
      </c>
      <c r="AA30" s="36">
        <v>8.333333333333337E-2</v>
      </c>
      <c r="AB30" s="36">
        <v>0.91666666666666663</v>
      </c>
      <c r="AC30" s="37">
        <v>0</v>
      </c>
      <c r="AD30" s="38">
        <v>0</v>
      </c>
      <c r="AE30" s="35">
        <v>0.45454545454545453</v>
      </c>
      <c r="AF30" s="37">
        <v>1</v>
      </c>
      <c r="AG30" s="37">
        <v>1</v>
      </c>
      <c r="AH30" s="37">
        <v>1</v>
      </c>
      <c r="AI30" s="37">
        <v>0</v>
      </c>
      <c r="AJ30" s="37">
        <v>0</v>
      </c>
      <c r="AK30" s="97">
        <v>0</v>
      </c>
      <c r="AL30" s="32" t="s">
        <v>2</v>
      </c>
      <c r="AM30" s="117" t="s">
        <v>1</v>
      </c>
      <c r="AN30" s="32">
        <v>0</v>
      </c>
      <c r="AO30" s="32" t="s">
        <v>53</v>
      </c>
      <c r="AP30" s="88">
        <v>0</v>
      </c>
      <c r="AQ30" s="69" t="s">
        <v>2</v>
      </c>
      <c r="AR30" s="89" t="s">
        <v>0</v>
      </c>
      <c r="AS30" s="69" t="s">
        <v>1</v>
      </c>
      <c r="AT30" s="10" t="s">
        <v>59</v>
      </c>
      <c r="AU30" s="7" t="s">
        <v>1</v>
      </c>
      <c r="AV30" s="142" t="s">
        <v>2</v>
      </c>
      <c r="AW30" s="69" t="s">
        <v>2</v>
      </c>
      <c r="AX30" s="145" t="s">
        <v>2</v>
      </c>
      <c r="AY30" s="150" t="s">
        <v>61</v>
      </c>
      <c r="AZ30" s="2">
        <v>0</v>
      </c>
      <c r="BA30" s="2">
        <v>0</v>
      </c>
      <c r="BB30" s="2">
        <v>1</v>
      </c>
      <c r="BC30" s="2">
        <v>0</v>
      </c>
    </row>
    <row r="31" spans="1:55" x14ac:dyDescent="0.25">
      <c r="A31" s="69">
        <v>29</v>
      </c>
      <c r="B31" s="31"/>
      <c r="C31" s="10" t="s">
        <v>14</v>
      </c>
      <c r="D31" s="10" t="s">
        <v>15</v>
      </c>
      <c r="E31" s="32">
        <v>57</v>
      </c>
      <c r="F31" s="87" t="s">
        <v>1</v>
      </c>
      <c r="G31" s="87" t="s">
        <v>1</v>
      </c>
      <c r="H31" s="86">
        <v>0</v>
      </c>
      <c r="I31" s="86">
        <v>0</v>
      </c>
      <c r="J31" s="86">
        <v>0</v>
      </c>
      <c r="K31" s="86">
        <v>0</v>
      </c>
      <c r="L31" s="86" t="s">
        <v>110</v>
      </c>
      <c r="M31" s="65">
        <v>0</v>
      </c>
      <c r="N31" s="65">
        <v>0</v>
      </c>
      <c r="O31" s="65">
        <v>0</v>
      </c>
      <c r="P31" s="65" t="s">
        <v>119</v>
      </c>
      <c r="Q31" s="65">
        <v>0</v>
      </c>
      <c r="R31" s="65">
        <v>0</v>
      </c>
      <c r="S31" s="86">
        <v>0</v>
      </c>
      <c r="T31" s="30"/>
      <c r="U31" s="32" t="s">
        <v>16</v>
      </c>
      <c r="V31" s="10" t="s">
        <v>34</v>
      </c>
      <c r="W31" s="32" t="s">
        <v>31</v>
      </c>
      <c r="X31" s="6" t="s">
        <v>23</v>
      </c>
      <c r="Y31" s="88" t="s">
        <v>21</v>
      </c>
      <c r="Z31" s="96">
        <v>0.47368421052631576</v>
      </c>
      <c r="AA31" s="36">
        <v>0.22222222222222221</v>
      </c>
      <c r="AB31" s="36">
        <v>0.77777777777777779</v>
      </c>
      <c r="AC31" s="37">
        <v>2</v>
      </c>
      <c r="AD31" s="38">
        <v>0.22222222222222221</v>
      </c>
      <c r="AE31" s="35">
        <v>0.33333333333333331</v>
      </c>
      <c r="AF31" s="37">
        <v>0</v>
      </c>
      <c r="AG31" s="37">
        <v>0</v>
      </c>
      <c r="AH31" s="37">
        <v>2</v>
      </c>
      <c r="AI31" s="37">
        <v>0</v>
      </c>
      <c r="AJ31" s="37">
        <v>0</v>
      </c>
      <c r="AK31" s="97">
        <v>0</v>
      </c>
      <c r="AL31" s="32" t="s">
        <v>2</v>
      </c>
      <c r="AM31" s="117" t="s">
        <v>1</v>
      </c>
      <c r="AN31" s="32">
        <v>0</v>
      </c>
      <c r="AO31" s="32" t="s">
        <v>53</v>
      </c>
      <c r="AP31" s="88">
        <v>0</v>
      </c>
      <c r="AQ31" s="69" t="s">
        <v>2</v>
      </c>
      <c r="AR31" s="89" t="s">
        <v>0</v>
      </c>
      <c r="AS31" s="69" t="s">
        <v>2</v>
      </c>
      <c r="AT31" s="10" t="s">
        <v>0</v>
      </c>
      <c r="AU31" s="7" t="s">
        <v>1</v>
      </c>
      <c r="AV31" s="142" t="s">
        <v>2</v>
      </c>
      <c r="AW31" s="69" t="s">
        <v>1</v>
      </c>
      <c r="AX31" s="145" t="s">
        <v>2</v>
      </c>
      <c r="AY31" s="150" t="s">
        <v>60</v>
      </c>
      <c r="AZ31" s="87">
        <v>1</v>
      </c>
      <c r="BA31" s="2">
        <v>0</v>
      </c>
      <c r="BB31" s="2">
        <v>0</v>
      </c>
      <c r="BC31" s="2">
        <v>0</v>
      </c>
    </row>
    <row r="32" spans="1:55" x14ac:dyDescent="0.25">
      <c r="A32" s="69">
        <v>30</v>
      </c>
      <c r="B32" s="31"/>
      <c r="C32" s="10" t="s">
        <v>14</v>
      </c>
      <c r="D32" s="10" t="s">
        <v>15</v>
      </c>
      <c r="E32" s="32">
        <v>67</v>
      </c>
      <c r="F32" s="87" t="s">
        <v>1</v>
      </c>
      <c r="G32" s="87" t="s">
        <v>1</v>
      </c>
      <c r="H32" s="86">
        <v>0</v>
      </c>
      <c r="I32" s="86">
        <v>0</v>
      </c>
      <c r="J32" s="86">
        <v>0</v>
      </c>
      <c r="K32" s="86">
        <v>0</v>
      </c>
      <c r="L32" s="86" t="s">
        <v>110</v>
      </c>
      <c r="M32" s="65">
        <v>0</v>
      </c>
      <c r="N32" s="65">
        <v>0</v>
      </c>
      <c r="O32" s="65">
        <v>0</v>
      </c>
      <c r="P32" s="65" t="s">
        <v>119</v>
      </c>
      <c r="Q32" s="65">
        <v>0</v>
      </c>
      <c r="R32" s="65">
        <v>0</v>
      </c>
      <c r="S32" s="86">
        <v>0</v>
      </c>
      <c r="T32" s="30"/>
      <c r="U32" s="32" t="s">
        <v>16</v>
      </c>
      <c r="V32" s="10" t="s">
        <v>34</v>
      </c>
      <c r="W32" s="32" t="s">
        <v>31</v>
      </c>
      <c r="X32" s="6" t="s">
        <v>19</v>
      </c>
      <c r="Y32" s="88" t="s">
        <v>21</v>
      </c>
      <c r="Z32" s="96">
        <v>0.48</v>
      </c>
      <c r="AA32" s="36">
        <v>8.333333333333337E-2</v>
      </c>
      <c r="AB32" s="36">
        <v>0.91666666666666663</v>
      </c>
      <c r="AC32" s="37">
        <v>1</v>
      </c>
      <c r="AD32" s="38">
        <v>8.3333333333333329E-2</v>
      </c>
      <c r="AE32" s="35">
        <v>0.66666666666666663</v>
      </c>
      <c r="AF32" s="37">
        <v>0</v>
      </c>
      <c r="AG32" s="37">
        <v>0</v>
      </c>
      <c r="AH32" s="37">
        <v>4</v>
      </c>
      <c r="AI32" s="37">
        <v>0</v>
      </c>
      <c r="AJ32" s="37">
        <v>0</v>
      </c>
      <c r="AK32" s="97">
        <v>0</v>
      </c>
      <c r="AL32" s="32" t="s">
        <v>1</v>
      </c>
      <c r="AM32" s="117" t="s">
        <v>1</v>
      </c>
      <c r="AN32" s="32">
        <v>0</v>
      </c>
      <c r="AO32" s="32" t="s">
        <v>53</v>
      </c>
      <c r="AP32" s="88">
        <v>0</v>
      </c>
      <c r="AQ32" s="69" t="s">
        <v>1</v>
      </c>
      <c r="AR32" s="89" t="s">
        <v>2</v>
      </c>
      <c r="AS32" s="69" t="s">
        <v>2</v>
      </c>
      <c r="AT32" s="10" t="s">
        <v>0</v>
      </c>
      <c r="AU32" s="7" t="s">
        <v>1</v>
      </c>
      <c r="AV32" s="142" t="s">
        <v>2</v>
      </c>
      <c r="AW32" s="69" t="s">
        <v>1</v>
      </c>
      <c r="AX32" s="145" t="s">
        <v>2</v>
      </c>
      <c r="AY32" s="150" t="s">
        <v>61</v>
      </c>
      <c r="AZ32" s="2">
        <v>0</v>
      </c>
      <c r="BA32" s="2">
        <v>1</v>
      </c>
      <c r="BB32" s="2">
        <v>0</v>
      </c>
      <c r="BC32" s="2">
        <v>0</v>
      </c>
    </row>
    <row r="33" spans="1:55" x14ac:dyDescent="0.25">
      <c r="A33" s="69">
        <v>31</v>
      </c>
      <c r="B33" s="31"/>
      <c r="C33" s="10" t="s">
        <v>14</v>
      </c>
      <c r="D33" s="10" t="s">
        <v>15</v>
      </c>
      <c r="E33" s="32">
        <v>82</v>
      </c>
      <c r="F33" s="87" t="s">
        <v>1</v>
      </c>
      <c r="G33" s="87" t="s">
        <v>1</v>
      </c>
      <c r="H33" s="84">
        <v>0</v>
      </c>
      <c r="I33" s="84" t="s">
        <v>107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 t="s">
        <v>119</v>
      </c>
      <c r="Q33" s="84">
        <v>0</v>
      </c>
      <c r="R33" s="84">
        <v>0</v>
      </c>
      <c r="S33" s="84">
        <v>0</v>
      </c>
      <c r="T33" s="30"/>
      <c r="U33" s="32" t="s">
        <v>16</v>
      </c>
      <c r="V33" s="10" t="s">
        <v>34</v>
      </c>
      <c r="W33" s="32" t="s">
        <v>31</v>
      </c>
      <c r="X33" s="6" t="s">
        <v>23</v>
      </c>
      <c r="Y33" s="88" t="s">
        <v>20</v>
      </c>
      <c r="Z33" s="94">
        <v>0.6428571428571429</v>
      </c>
      <c r="AA33" s="33">
        <v>0.11111111111111116</v>
      </c>
      <c r="AB33" s="33">
        <v>0.88888888888888884</v>
      </c>
      <c r="AC33" s="34">
        <v>1</v>
      </c>
      <c r="AD33" s="35">
        <v>5.8823529411764705E-2</v>
      </c>
      <c r="AE33" s="35">
        <v>0.23529411764705882</v>
      </c>
      <c r="AF33" s="34">
        <v>0</v>
      </c>
      <c r="AG33" s="34">
        <v>0</v>
      </c>
      <c r="AH33" s="34">
        <v>2</v>
      </c>
      <c r="AI33" s="34">
        <v>0</v>
      </c>
      <c r="AJ33" s="34">
        <v>0</v>
      </c>
      <c r="AK33" s="97">
        <v>0</v>
      </c>
      <c r="AL33" s="32" t="s">
        <v>2</v>
      </c>
      <c r="AM33" s="119" t="s">
        <v>1</v>
      </c>
      <c r="AN33" s="32">
        <v>0</v>
      </c>
      <c r="AO33" s="32" t="s">
        <v>53</v>
      </c>
      <c r="AP33" s="88">
        <v>0</v>
      </c>
      <c r="AQ33" s="69" t="s">
        <v>2</v>
      </c>
      <c r="AR33" s="89" t="s">
        <v>0</v>
      </c>
      <c r="AS33" s="69" t="s">
        <v>2</v>
      </c>
      <c r="AT33" s="10" t="s">
        <v>0</v>
      </c>
      <c r="AU33" s="7" t="s">
        <v>1</v>
      </c>
      <c r="AV33" s="142" t="s">
        <v>1</v>
      </c>
      <c r="AW33" s="69" t="s">
        <v>2</v>
      </c>
      <c r="AX33" s="145" t="s">
        <v>1</v>
      </c>
      <c r="AY33" s="150" t="s">
        <v>61</v>
      </c>
      <c r="AZ33" s="87">
        <v>1</v>
      </c>
      <c r="BA33" s="2">
        <v>0</v>
      </c>
      <c r="BB33" s="2">
        <v>0</v>
      </c>
      <c r="BC33" s="2">
        <v>0</v>
      </c>
    </row>
    <row r="34" spans="1:55" x14ac:dyDescent="0.25">
      <c r="A34" s="69">
        <v>32</v>
      </c>
      <c r="B34" s="31"/>
      <c r="C34" s="10" t="s">
        <v>14</v>
      </c>
      <c r="D34" s="10" t="s">
        <v>22</v>
      </c>
      <c r="E34" s="32">
        <v>51</v>
      </c>
      <c r="F34" s="87" t="s">
        <v>1</v>
      </c>
      <c r="G34" s="87" t="s">
        <v>1</v>
      </c>
      <c r="H34" s="86">
        <v>0</v>
      </c>
      <c r="I34" s="86">
        <v>0</v>
      </c>
      <c r="J34" s="86">
        <v>0</v>
      </c>
      <c r="K34" s="86" t="s">
        <v>109</v>
      </c>
      <c r="L34" s="86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 t="s">
        <v>121</v>
      </c>
      <c r="S34" s="86">
        <v>0</v>
      </c>
      <c r="T34" s="31"/>
      <c r="U34" s="32" t="s">
        <v>29</v>
      </c>
      <c r="V34" s="10" t="s">
        <v>17</v>
      </c>
      <c r="W34" s="32" t="s">
        <v>35</v>
      </c>
      <c r="X34" s="32" t="s">
        <v>23</v>
      </c>
      <c r="Y34" s="89" t="s">
        <v>21</v>
      </c>
      <c r="Z34" s="94">
        <v>0.8214285714285714</v>
      </c>
      <c r="AA34" s="33">
        <v>8.6956521739130488E-2</v>
      </c>
      <c r="AB34" s="33">
        <v>0.91304347826086951</v>
      </c>
      <c r="AC34" s="34">
        <v>1</v>
      </c>
      <c r="AD34" s="35">
        <v>4.5454545454545456E-2</v>
      </c>
      <c r="AE34" s="35">
        <v>9.0909090909090912E-2</v>
      </c>
      <c r="AF34" s="34">
        <v>0</v>
      </c>
      <c r="AG34" s="34">
        <v>0</v>
      </c>
      <c r="AH34" s="34">
        <v>2</v>
      </c>
      <c r="AI34" s="34">
        <v>0</v>
      </c>
      <c r="AJ34" s="34">
        <v>0</v>
      </c>
      <c r="AK34" s="97">
        <v>0</v>
      </c>
      <c r="AL34" s="32" t="s">
        <v>2</v>
      </c>
      <c r="AM34" s="117" t="s">
        <v>1</v>
      </c>
      <c r="AN34" s="32">
        <v>0</v>
      </c>
      <c r="AO34" s="32" t="s">
        <v>53</v>
      </c>
      <c r="AP34" s="88">
        <v>0</v>
      </c>
      <c r="AQ34" s="69" t="s">
        <v>1</v>
      </c>
      <c r="AR34" s="89" t="s">
        <v>2</v>
      </c>
      <c r="AS34" s="69" t="s">
        <v>2</v>
      </c>
      <c r="AT34" s="10" t="s">
        <v>0</v>
      </c>
      <c r="AU34" s="7" t="s">
        <v>1</v>
      </c>
      <c r="AV34" s="142" t="s">
        <v>2</v>
      </c>
      <c r="AW34" s="69" t="s">
        <v>2</v>
      </c>
      <c r="AX34" s="145" t="s">
        <v>2</v>
      </c>
      <c r="AY34" s="150" t="s">
        <v>60</v>
      </c>
      <c r="AZ34" s="87">
        <v>1</v>
      </c>
      <c r="BA34" s="2">
        <v>0</v>
      </c>
      <c r="BB34" s="2">
        <v>0</v>
      </c>
      <c r="BC34" s="2">
        <v>0</v>
      </c>
    </row>
    <row r="35" spans="1:55" x14ac:dyDescent="0.25">
      <c r="A35" s="69">
        <v>33</v>
      </c>
      <c r="B35" s="31"/>
      <c r="C35" s="10" t="s">
        <v>14</v>
      </c>
      <c r="D35" s="10" t="s">
        <v>15</v>
      </c>
      <c r="E35" s="32">
        <v>50</v>
      </c>
      <c r="F35" s="87" t="s">
        <v>1</v>
      </c>
      <c r="G35" s="87" t="s">
        <v>1</v>
      </c>
      <c r="H35" s="86">
        <v>0</v>
      </c>
      <c r="I35" s="86">
        <v>0</v>
      </c>
      <c r="J35" s="86">
        <v>0</v>
      </c>
      <c r="K35" s="86" t="s">
        <v>109</v>
      </c>
      <c r="L35" s="86">
        <v>0</v>
      </c>
      <c r="M35" s="65">
        <v>0</v>
      </c>
      <c r="N35" s="65">
        <v>0</v>
      </c>
      <c r="O35" s="65">
        <v>0</v>
      </c>
      <c r="P35" s="65" t="s">
        <v>119</v>
      </c>
      <c r="Q35" s="65">
        <v>0</v>
      </c>
      <c r="R35" s="65">
        <v>0</v>
      </c>
      <c r="S35" s="86">
        <v>0</v>
      </c>
      <c r="T35" s="31"/>
      <c r="U35" s="32" t="s">
        <v>29</v>
      </c>
      <c r="V35" s="10" t="s">
        <v>17</v>
      </c>
      <c r="W35" s="32" t="s">
        <v>36</v>
      </c>
      <c r="X35" s="6" t="s">
        <v>23</v>
      </c>
      <c r="Y35" s="88" t="s">
        <v>21</v>
      </c>
      <c r="Z35" s="94">
        <v>0.7142857142857143</v>
      </c>
      <c r="AA35" s="33">
        <v>0.24</v>
      </c>
      <c r="AB35" s="33">
        <v>0.76</v>
      </c>
      <c r="AC35" s="34">
        <v>4</v>
      </c>
      <c r="AD35" s="35">
        <v>0.17391304347826086</v>
      </c>
      <c r="AE35" s="35">
        <v>0.21739130434782608</v>
      </c>
      <c r="AF35" s="34">
        <v>1</v>
      </c>
      <c r="AG35" s="34">
        <v>1</v>
      </c>
      <c r="AH35" s="34">
        <v>4</v>
      </c>
      <c r="AI35" s="34">
        <v>0</v>
      </c>
      <c r="AJ35" s="34">
        <v>1</v>
      </c>
      <c r="AK35" s="95">
        <v>0</v>
      </c>
      <c r="AL35" s="32" t="s">
        <v>2</v>
      </c>
      <c r="AM35" s="117" t="s">
        <v>1</v>
      </c>
      <c r="AN35" s="32">
        <v>0</v>
      </c>
      <c r="AO35" s="32" t="s">
        <v>53</v>
      </c>
      <c r="AP35" s="88">
        <v>0</v>
      </c>
      <c r="AQ35" s="69" t="s">
        <v>1</v>
      </c>
      <c r="AR35" s="89" t="s">
        <v>1</v>
      </c>
      <c r="AS35" s="69" t="s">
        <v>2</v>
      </c>
      <c r="AT35" s="10" t="s">
        <v>0</v>
      </c>
      <c r="AU35" s="7" t="s">
        <v>1</v>
      </c>
      <c r="AV35" s="142" t="s">
        <v>2</v>
      </c>
      <c r="AW35" s="69" t="s">
        <v>2</v>
      </c>
      <c r="AX35" s="145" t="s">
        <v>2</v>
      </c>
      <c r="AY35" s="150" t="s">
        <v>61</v>
      </c>
      <c r="AZ35" s="2">
        <v>0</v>
      </c>
      <c r="BA35" s="2">
        <v>1</v>
      </c>
      <c r="BB35" s="2">
        <v>0</v>
      </c>
      <c r="BC35" s="2">
        <v>0</v>
      </c>
    </row>
    <row r="36" spans="1:55" ht="30" x14ac:dyDescent="0.25">
      <c r="A36" s="69">
        <v>34</v>
      </c>
      <c r="B36" s="31"/>
      <c r="C36" s="10" t="s">
        <v>14</v>
      </c>
      <c r="D36" s="10" t="s">
        <v>15</v>
      </c>
      <c r="E36" s="32">
        <v>50</v>
      </c>
      <c r="F36" s="2" t="s">
        <v>2</v>
      </c>
      <c r="G36" s="2" t="s">
        <v>2</v>
      </c>
      <c r="H36" s="86">
        <v>0</v>
      </c>
      <c r="I36" s="86" t="s">
        <v>107</v>
      </c>
      <c r="J36" s="86">
        <v>0</v>
      </c>
      <c r="K36" s="86">
        <v>0</v>
      </c>
      <c r="L36" s="86">
        <v>0</v>
      </c>
      <c r="M36" s="65">
        <v>0</v>
      </c>
      <c r="N36" s="65">
        <v>0</v>
      </c>
      <c r="O36" s="65">
        <v>0</v>
      </c>
      <c r="P36" s="65" t="s">
        <v>119</v>
      </c>
      <c r="Q36" s="65">
        <v>0</v>
      </c>
      <c r="R36" s="65">
        <v>0</v>
      </c>
      <c r="S36" s="86">
        <v>0</v>
      </c>
      <c r="T36" s="31"/>
      <c r="U36" s="32" t="s">
        <v>30</v>
      </c>
      <c r="V36" s="10" t="s">
        <v>17</v>
      </c>
      <c r="W36" s="32" t="s">
        <v>37</v>
      </c>
      <c r="X36" s="6" t="s">
        <v>19</v>
      </c>
      <c r="Y36" s="9" t="s">
        <v>20</v>
      </c>
      <c r="Z36" s="94">
        <v>0.3</v>
      </c>
      <c r="AA36" s="33">
        <v>0</v>
      </c>
      <c r="AB36" s="33">
        <v>1</v>
      </c>
      <c r="AC36" s="34">
        <v>0</v>
      </c>
      <c r="AD36" s="35">
        <v>0</v>
      </c>
      <c r="AE36" s="35">
        <v>0.33333333333333331</v>
      </c>
      <c r="AF36" s="34">
        <v>0</v>
      </c>
      <c r="AG36" s="34">
        <v>0</v>
      </c>
      <c r="AH36" s="34">
        <v>1</v>
      </c>
      <c r="AI36" s="34">
        <v>0</v>
      </c>
      <c r="AJ36" s="34">
        <v>0</v>
      </c>
      <c r="AK36" s="97">
        <v>0</v>
      </c>
      <c r="AL36" s="32" t="s">
        <v>2</v>
      </c>
      <c r="AM36" s="116" t="s">
        <v>2</v>
      </c>
      <c r="AN36" s="32" t="s">
        <v>0</v>
      </c>
      <c r="AO36" s="32" t="s">
        <v>0</v>
      </c>
      <c r="AP36" s="88" t="s">
        <v>0</v>
      </c>
      <c r="AQ36" s="69" t="s">
        <v>1</v>
      </c>
      <c r="AR36" s="89" t="s">
        <v>2</v>
      </c>
      <c r="AS36" s="69" t="s">
        <v>2</v>
      </c>
      <c r="AT36" s="10" t="s">
        <v>0</v>
      </c>
      <c r="AU36" s="7" t="s">
        <v>1</v>
      </c>
      <c r="AV36" s="142" t="s">
        <v>2</v>
      </c>
      <c r="AW36" s="69" t="s">
        <v>2</v>
      </c>
      <c r="AX36" s="145" t="s">
        <v>0</v>
      </c>
      <c r="AY36" s="150" t="s">
        <v>63</v>
      </c>
      <c r="AZ36" s="2">
        <v>0</v>
      </c>
      <c r="BA36" s="2">
        <v>0</v>
      </c>
      <c r="BB36" s="2">
        <v>1</v>
      </c>
      <c r="BC36" s="2">
        <v>0</v>
      </c>
    </row>
    <row r="37" spans="1:55" x14ac:dyDescent="0.25">
      <c r="A37" s="69">
        <v>35</v>
      </c>
      <c r="B37" s="31"/>
      <c r="C37" s="10" t="s">
        <v>14</v>
      </c>
      <c r="D37" s="10" t="s">
        <v>15</v>
      </c>
      <c r="E37" s="32">
        <v>28</v>
      </c>
      <c r="F37" s="87" t="s">
        <v>1</v>
      </c>
      <c r="G37" s="87" t="s">
        <v>1</v>
      </c>
      <c r="H37" s="86">
        <v>0</v>
      </c>
      <c r="I37" s="86">
        <v>0</v>
      </c>
      <c r="J37" s="86" t="s">
        <v>108</v>
      </c>
      <c r="K37" s="86">
        <v>0</v>
      </c>
      <c r="L37" s="86">
        <v>0</v>
      </c>
      <c r="M37" s="65">
        <v>0</v>
      </c>
      <c r="N37" s="65" t="s">
        <v>117</v>
      </c>
      <c r="O37" s="65">
        <v>0</v>
      </c>
      <c r="P37" s="65">
        <v>0</v>
      </c>
      <c r="Q37" s="65">
        <v>0</v>
      </c>
      <c r="R37" s="65">
        <v>0</v>
      </c>
      <c r="S37" s="86">
        <v>0</v>
      </c>
      <c r="T37" s="31"/>
      <c r="U37" s="32" t="s">
        <v>30</v>
      </c>
      <c r="V37" s="10" t="s">
        <v>17</v>
      </c>
      <c r="W37" s="32" t="s">
        <v>37</v>
      </c>
      <c r="X37" s="6" t="s">
        <v>19</v>
      </c>
      <c r="Y37" s="88" t="s">
        <v>20</v>
      </c>
      <c r="Z37" s="96">
        <v>0.46666666666666667</v>
      </c>
      <c r="AA37" s="36">
        <v>0.1428571428571429</v>
      </c>
      <c r="AB37" s="36">
        <v>0.8571428571428571</v>
      </c>
      <c r="AC37" s="37">
        <v>1</v>
      </c>
      <c r="AD37" s="38">
        <v>0.14285714285714285</v>
      </c>
      <c r="AE37" s="35">
        <v>0.14285714285714285</v>
      </c>
      <c r="AF37" s="37">
        <v>0</v>
      </c>
      <c r="AG37" s="37">
        <v>0</v>
      </c>
      <c r="AH37" s="37">
        <v>3</v>
      </c>
      <c r="AI37" s="37">
        <v>0</v>
      </c>
      <c r="AJ37" s="37">
        <v>0</v>
      </c>
      <c r="AK37" s="97">
        <v>0</v>
      </c>
      <c r="AL37" s="32" t="s">
        <v>1</v>
      </c>
      <c r="AM37" s="117" t="s">
        <v>1</v>
      </c>
      <c r="AN37" s="32">
        <v>0</v>
      </c>
      <c r="AO37" s="32">
        <v>0</v>
      </c>
      <c r="AP37" s="88" t="s">
        <v>54</v>
      </c>
      <c r="AQ37" s="69" t="s">
        <v>1</v>
      </c>
      <c r="AR37" s="89" t="s">
        <v>1</v>
      </c>
      <c r="AS37" s="69" t="s">
        <v>1</v>
      </c>
      <c r="AT37" s="10" t="s">
        <v>45</v>
      </c>
      <c r="AU37" s="7" t="s">
        <v>1</v>
      </c>
      <c r="AV37" s="142" t="s">
        <v>1</v>
      </c>
      <c r="AW37" s="69" t="s">
        <v>2</v>
      </c>
      <c r="AX37" s="145" t="s">
        <v>2</v>
      </c>
      <c r="AY37" s="150" t="s">
        <v>61</v>
      </c>
      <c r="AZ37" s="2">
        <v>0</v>
      </c>
      <c r="BA37" s="2">
        <v>0</v>
      </c>
      <c r="BB37" s="2">
        <v>1</v>
      </c>
      <c r="BC37" s="2">
        <v>0</v>
      </c>
    </row>
    <row r="38" spans="1:55" ht="30" x14ac:dyDescent="0.25">
      <c r="A38" s="69">
        <v>36</v>
      </c>
      <c r="B38" s="31"/>
      <c r="C38" s="10" t="s">
        <v>14</v>
      </c>
      <c r="D38" s="10" t="s">
        <v>15</v>
      </c>
      <c r="E38" s="32">
        <v>57</v>
      </c>
      <c r="F38" s="87" t="s">
        <v>1</v>
      </c>
      <c r="G38" s="87" t="s">
        <v>1</v>
      </c>
      <c r="H38" s="86">
        <v>0</v>
      </c>
      <c r="I38" s="86">
        <v>0</v>
      </c>
      <c r="J38" s="86" t="s">
        <v>108</v>
      </c>
      <c r="K38" s="86">
        <v>0</v>
      </c>
      <c r="L38" s="86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86" t="s">
        <v>129</v>
      </c>
      <c r="T38" s="31"/>
      <c r="U38" s="32" t="s">
        <v>30</v>
      </c>
      <c r="V38" s="10" t="s">
        <v>17</v>
      </c>
      <c r="W38" s="32" t="s">
        <v>37</v>
      </c>
      <c r="X38" s="6" t="s">
        <v>19</v>
      </c>
      <c r="Y38" s="88" t="s">
        <v>21</v>
      </c>
      <c r="Z38" s="96">
        <v>0.4</v>
      </c>
      <c r="AA38" s="36">
        <v>0.75</v>
      </c>
      <c r="AB38" s="36">
        <v>0.25</v>
      </c>
      <c r="AC38" s="37">
        <v>2</v>
      </c>
      <c r="AD38" s="38">
        <v>0.66666666666666663</v>
      </c>
      <c r="AE38" s="35">
        <v>0</v>
      </c>
      <c r="AF38" s="37">
        <v>1</v>
      </c>
      <c r="AG38" s="37">
        <v>1</v>
      </c>
      <c r="AH38" s="37">
        <v>1</v>
      </c>
      <c r="AI38" s="37">
        <v>0</v>
      </c>
      <c r="AJ38" s="37">
        <v>1</v>
      </c>
      <c r="AK38" s="97">
        <v>1</v>
      </c>
      <c r="AL38" s="32" t="s">
        <v>2</v>
      </c>
      <c r="AM38" s="116" t="s">
        <v>2</v>
      </c>
      <c r="AN38" s="32" t="s">
        <v>0</v>
      </c>
      <c r="AO38" s="32" t="s">
        <v>0</v>
      </c>
      <c r="AP38" s="88" t="s">
        <v>0</v>
      </c>
      <c r="AQ38" s="69" t="s">
        <v>1</v>
      </c>
      <c r="AR38" s="89" t="s">
        <v>2</v>
      </c>
      <c r="AS38" s="69" t="s">
        <v>2</v>
      </c>
      <c r="AT38" s="10" t="s">
        <v>0</v>
      </c>
      <c r="AU38" s="7" t="s">
        <v>1</v>
      </c>
      <c r="AV38" s="142" t="s">
        <v>2</v>
      </c>
      <c r="AW38" s="69" t="s">
        <v>2</v>
      </c>
      <c r="AX38" s="145" t="s">
        <v>0</v>
      </c>
      <c r="AY38" s="150" t="s">
        <v>64</v>
      </c>
      <c r="AZ38" s="87">
        <v>1</v>
      </c>
      <c r="BA38" s="2">
        <v>0</v>
      </c>
      <c r="BB38" s="2">
        <v>0</v>
      </c>
      <c r="BC38" s="2">
        <v>0</v>
      </c>
    </row>
    <row r="39" spans="1:55" x14ac:dyDescent="0.25">
      <c r="A39" s="69">
        <v>37</v>
      </c>
      <c r="B39" s="31"/>
      <c r="C39" s="10" t="s">
        <v>14</v>
      </c>
      <c r="D39" s="10" t="s">
        <v>15</v>
      </c>
      <c r="E39" s="32">
        <v>32</v>
      </c>
      <c r="F39" s="87" t="s">
        <v>1</v>
      </c>
      <c r="G39" s="87" t="s">
        <v>1</v>
      </c>
      <c r="H39" s="86">
        <v>0</v>
      </c>
      <c r="I39" s="86">
        <v>0</v>
      </c>
      <c r="J39" s="86">
        <v>0</v>
      </c>
      <c r="K39" s="86">
        <v>0</v>
      </c>
      <c r="L39" s="86" t="s">
        <v>110</v>
      </c>
      <c r="M39" s="65">
        <v>0</v>
      </c>
      <c r="N39" s="65">
        <v>0</v>
      </c>
      <c r="O39" s="65" t="s">
        <v>118</v>
      </c>
      <c r="P39" s="65">
        <v>0</v>
      </c>
      <c r="Q39" s="65">
        <v>0</v>
      </c>
      <c r="R39" s="65">
        <v>0</v>
      </c>
      <c r="S39" s="86">
        <v>0</v>
      </c>
      <c r="T39" s="31"/>
      <c r="U39" s="32" t="s">
        <v>16</v>
      </c>
      <c r="V39" s="10" t="s">
        <v>17</v>
      </c>
      <c r="W39" s="32" t="s">
        <v>37</v>
      </c>
      <c r="X39" s="32" t="s">
        <v>19</v>
      </c>
      <c r="Y39" s="88" t="s">
        <v>20</v>
      </c>
      <c r="Z39" s="94">
        <v>0.82926829268292679</v>
      </c>
      <c r="AA39" s="33">
        <v>2.9411764705882359E-2</v>
      </c>
      <c r="AB39" s="33">
        <v>0.97058823529411764</v>
      </c>
      <c r="AC39" s="34">
        <v>0</v>
      </c>
      <c r="AD39" s="35">
        <v>0</v>
      </c>
      <c r="AE39" s="35">
        <v>0.21212121212121213</v>
      </c>
      <c r="AF39" s="34">
        <v>1</v>
      </c>
      <c r="AG39" s="34">
        <v>1</v>
      </c>
      <c r="AH39" s="34">
        <v>3</v>
      </c>
      <c r="AI39" s="34">
        <v>0</v>
      </c>
      <c r="AJ39" s="34">
        <v>0</v>
      </c>
      <c r="AK39" s="97">
        <v>0</v>
      </c>
      <c r="AL39" s="32" t="s">
        <v>2</v>
      </c>
      <c r="AM39" s="117" t="s">
        <v>1</v>
      </c>
      <c r="AN39" s="32">
        <v>0</v>
      </c>
      <c r="AO39" s="32" t="s">
        <v>53</v>
      </c>
      <c r="AP39" s="88">
        <v>0</v>
      </c>
      <c r="AQ39" s="69" t="s">
        <v>1</v>
      </c>
      <c r="AR39" s="89" t="s">
        <v>1</v>
      </c>
      <c r="AS39" s="69" t="s">
        <v>1</v>
      </c>
      <c r="AT39" s="10" t="s">
        <v>45</v>
      </c>
      <c r="AU39" s="7" t="s">
        <v>1</v>
      </c>
      <c r="AV39" s="142" t="s">
        <v>2</v>
      </c>
      <c r="AW39" s="69" t="s">
        <v>1</v>
      </c>
      <c r="AX39" s="145" t="s">
        <v>1</v>
      </c>
      <c r="AY39" s="150" t="s">
        <v>61</v>
      </c>
      <c r="AZ39" s="87">
        <v>1</v>
      </c>
      <c r="BA39" s="2">
        <v>0</v>
      </c>
      <c r="BB39" s="2">
        <v>0</v>
      </c>
      <c r="BC39" s="2">
        <v>0</v>
      </c>
    </row>
    <row r="40" spans="1:55" x14ac:dyDescent="0.25">
      <c r="A40" s="69">
        <v>38</v>
      </c>
      <c r="B40" s="31"/>
      <c r="C40" s="10" t="s">
        <v>14</v>
      </c>
      <c r="D40" s="10" t="s">
        <v>15</v>
      </c>
      <c r="E40" s="32">
        <v>23</v>
      </c>
      <c r="F40" s="87" t="s">
        <v>1</v>
      </c>
      <c r="G40" s="87" t="s">
        <v>1</v>
      </c>
      <c r="H40" s="86">
        <v>0</v>
      </c>
      <c r="I40" s="86">
        <v>0</v>
      </c>
      <c r="J40" s="86">
        <v>0</v>
      </c>
      <c r="K40" s="86">
        <v>0</v>
      </c>
      <c r="L40" s="86" t="s">
        <v>110</v>
      </c>
      <c r="M40" s="65">
        <v>0</v>
      </c>
      <c r="N40" s="65">
        <v>0</v>
      </c>
      <c r="O40" s="65" t="s">
        <v>118</v>
      </c>
      <c r="P40" s="65">
        <v>0</v>
      </c>
      <c r="Q40" s="65">
        <v>0</v>
      </c>
      <c r="R40" s="65">
        <v>0</v>
      </c>
      <c r="S40" s="86">
        <v>0</v>
      </c>
      <c r="T40" s="31"/>
      <c r="U40" s="32" t="s">
        <v>16</v>
      </c>
      <c r="V40" s="10" t="s">
        <v>17</v>
      </c>
      <c r="W40" s="32" t="s">
        <v>37</v>
      </c>
      <c r="X40" s="32" t="s">
        <v>19</v>
      </c>
      <c r="Y40" s="88" t="s">
        <v>21</v>
      </c>
      <c r="Z40" s="94">
        <v>0.58333333333333337</v>
      </c>
      <c r="AA40" s="33">
        <v>3.5714285714285698E-2</v>
      </c>
      <c r="AB40" s="33">
        <v>0.9642857142857143</v>
      </c>
      <c r="AC40" s="34">
        <v>1</v>
      </c>
      <c r="AD40" s="35">
        <v>3.5714285714285712E-2</v>
      </c>
      <c r="AE40" s="35">
        <v>0.5357142857142857</v>
      </c>
      <c r="AF40" s="34">
        <v>1</v>
      </c>
      <c r="AG40" s="34">
        <v>1</v>
      </c>
      <c r="AH40" s="34">
        <v>3</v>
      </c>
      <c r="AI40" s="34">
        <v>0</v>
      </c>
      <c r="AJ40" s="34">
        <v>0</v>
      </c>
      <c r="AK40" s="97">
        <v>0</v>
      </c>
      <c r="AL40" s="32" t="s">
        <v>2</v>
      </c>
      <c r="AM40" s="117" t="s">
        <v>1</v>
      </c>
      <c r="AN40" s="32">
        <v>0</v>
      </c>
      <c r="AO40" s="32" t="s">
        <v>53</v>
      </c>
      <c r="AP40" s="88">
        <v>0</v>
      </c>
      <c r="AQ40" s="69" t="s">
        <v>1</v>
      </c>
      <c r="AR40" s="89" t="s">
        <v>2</v>
      </c>
      <c r="AS40" s="69" t="s">
        <v>1</v>
      </c>
      <c r="AT40" s="10" t="s">
        <v>45</v>
      </c>
      <c r="AU40" s="7" t="s">
        <v>1</v>
      </c>
      <c r="AV40" s="142" t="s">
        <v>2</v>
      </c>
      <c r="AW40" s="69" t="s">
        <v>2</v>
      </c>
      <c r="AX40" s="145" t="s">
        <v>1</v>
      </c>
      <c r="AY40" s="150" t="s">
        <v>60</v>
      </c>
      <c r="AZ40" s="2">
        <v>0</v>
      </c>
      <c r="BA40" s="2">
        <v>1</v>
      </c>
      <c r="BB40" s="2">
        <v>0</v>
      </c>
      <c r="BC40" s="2">
        <v>0</v>
      </c>
    </row>
    <row r="41" spans="1:55" x14ac:dyDescent="0.25">
      <c r="A41" s="69">
        <v>39</v>
      </c>
      <c r="B41" s="31"/>
      <c r="C41" s="10" t="s">
        <v>14</v>
      </c>
      <c r="D41" s="10" t="s">
        <v>15</v>
      </c>
      <c r="E41" s="32">
        <v>44</v>
      </c>
      <c r="F41" s="87" t="s">
        <v>1</v>
      </c>
      <c r="G41" s="87" t="s">
        <v>1</v>
      </c>
      <c r="H41" s="86">
        <v>0</v>
      </c>
      <c r="I41" s="86">
        <v>0</v>
      </c>
      <c r="J41" s="86">
        <v>0</v>
      </c>
      <c r="K41" s="86">
        <v>0</v>
      </c>
      <c r="L41" s="86" t="s">
        <v>110</v>
      </c>
      <c r="M41" s="65">
        <v>0</v>
      </c>
      <c r="N41" s="65">
        <v>0</v>
      </c>
      <c r="O41" s="65" t="s">
        <v>118</v>
      </c>
      <c r="P41" s="65">
        <v>0</v>
      </c>
      <c r="Q41" s="65">
        <v>0</v>
      </c>
      <c r="R41" s="65">
        <v>0</v>
      </c>
      <c r="S41" s="86">
        <v>0</v>
      </c>
      <c r="T41" s="31"/>
      <c r="U41" s="32" t="s">
        <v>16</v>
      </c>
      <c r="V41" s="10" t="s">
        <v>17</v>
      </c>
      <c r="W41" s="32" t="s">
        <v>37</v>
      </c>
      <c r="X41" s="32" t="s">
        <v>19</v>
      </c>
      <c r="Y41" s="88" t="s">
        <v>21</v>
      </c>
      <c r="Z41" s="94">
        <v>0.8</v>
      </c>
      <c r="AA41" s="33">
        <v>0</v>
      </c>
      <c r="AB41" s="33">
        <v>1</v>
      </c>
      <c r="AC41" s="34">
        <v>0</v>
      </c>
      <c r="AD41" s="35">
        <v>0</v>
      </c>
      <c r="AE41" s="35">
        <v>0.45</v>
      </c>
      <c r="AF41" s="34">
        <v>0</v>
      </c>
      <c r="AG41" s="34">
        <v>0</v>
      </c>
      <c r="AH41" s="34">
        <v>3</v>
      </c>
      <c r="AI41" s="34">
        <v>0</v>
      </c>
      <c r="AJ41" s="34">
        <v>0</v>
      </c>
      <c r="AK41" s="97">
        <v>0</v>
      </c>
      <c r="AL41" s="32" t="s">
        <v>2</v>
      </c>
      <c r="AM41" s="117" t="s">
        <v>1</v>
      </c>
      <c r="AN41" s="32">
        <v>0</v>
      </c>
      <c r="AO41" s="32" t="s">
        <v>53</v>
      </c>
      <c r="AP41" s="88">
        <v>0</v>
      </c>
      <c r="AQ41" s="69" t="s">
        <v>1</v>
      </c>
      <c r="AR41" s="89" t="s">
        <v>1</v>
      </c>
      <c r="AS41" s="69" t="s">
        <v>1</v>
      </c>
      <c r="AT41" s="10" t="s">
        <v>59</v>
      </c>
      <c r="AU41" s="7" t="s">
        <v>1</v>
      </c>
      <c r="AV41" s="142" t="s">
        <v>2</v>
      </c>
      <c r="AW41" s="69" t="s">
        <v>2</v>
      </c>
      <c r="AX41" s="145" t="s">
        <v>1</v>
      </c>
      <c r="AY41" s="150" t="s">
        <v>61</v>
      </c>
      <c r="AZ41" s="87">
        <v>1</v>
      </c>
      <c r="BA41" s="2">
        <v>0</v>
      </c>
      <c r="BB41" s="2">
        <v>0</v>
      </c>
      <c r="BC41" s="2">
        <v>0</v>
      </c>
    </row>
    <row r="42" spans="1:55" x14ac:dyDescent="0.25">
      <c r="A42" s="69">
        <v>40</v>
      </c>
      <c r="B42" s="31"/>
      <c r="C42" s="10" t="s">
        <v>14</v>
      </c>
      <c r="D42" s="10" t="s">
        <v>15</v>
      </c>
      <c r="E42" s="32">
        <v>82</v>
      </c>
      <c r="F42" s="87" t="s">
        <v>1</v>
      </c>
      <c r="G42" s="87" t="s">
        <v>1</v>
      </c>
      <c r="H42" s="86">
        <v>0</v>
      </c>
      <c r="I42" s="86">
        <v>0</v>
      </c>
      <c r="J42" s="86">
        <v>0</v>
      </c>
      <c r="K42" s="86">
        <v>0</v>
      </c>
      <c r="L42" s="86" t="s">
        <v>110</v>
      </c>
      <c r="M42" s="65">
        <v>0</v>
      </c>
      <c r="N42" s="65">
        <v>0</v>
      </c>
      <c r="O42" s="65">
        <v>0</v>
      </c>
      <c r="P42" s="65" t="s">
        <v>119</v>
      </c>
      <c r="Q42" s="65">
        <v>0</v>
      </c>
      <c r="R42" s="65">
        <v>0</v>
      </c>
      <c r="S42" s="86">
        <v>0</v>
      </c>
      <c r="T42" s="31"/>
      <c r="U42" s="32" t="s">
        <v>16</v>
      </c>
      <c r="V42" s="10" t="s">
        <v>17</v>
      </c>
      <c r="W42" s="32" t="s">
        <v>33</v>
      </c>
      <c r="X42" s="6" t="s">
        <v>19</v>
      </c>
      <c r="Y42" s="88" t="s">
        <v>21</v>
      </c>
      <c r="Z42" s="94">
        <v>0.64634146341463417</v>
      </c>
      <c r="AA42" s="33">
        <v>0</v>
      </c>
      <c r="AB42" s="33">
        <v>1</v>
      </c>
      <c r="AC42" s="34">
        <v>0</v>
      </c>
      <c r="AD42" s="35">
        <v>0</v>
      </c>
      <c r="AE42" s="35">
        <v>0.52500000000000002</v>
      </c>
      <c r="AF42" s="34">
        <v>0</v>
      </c>
      <c r="AG42" s="34">
        <v>0</v>
      </c>
      <c r="AH42" s="34">
        <v>9</v>
      </c>
      <c r="AI42" s="34">
        <v>0</v>
      </c>
      <c r="AJ42" s="34">
        <v>0</v>
      </c>
      <c r="AK42" s="97">
        <v>0</v>
      </c>
      <c r="AL42" s="32" t="s">
        <v>2</v>
      </c>
      <c r="AM42" s="116" t="s">
        <v>2</v>
      </c>
      <c r="AN42" s="32" t="s">
        <v>0</v>
      </c>
      <c r="AO42" s="32" t="s">
        <v>0</v>
      </c>
      <c r="AP42" s="88" t="s">
        <v>0</v>
      </c>
      <c r="AQ42" s="69" t="s">
        <v>2</v>
      </c>
      <c r="AR42" s="89" t="s">
        <v>0</v>
      </c>
      <c r="AS42" s="69" t="s">
        <v>1</v>
      </c>
      <c r="AT42" s="10" t="s">
        <v>59</v>
      </c>
      <c r="AU42" s="7" t="s">
        <v>1</v>
      </c>
      <c r="AV42" s="142" t="s">
        <v>2</v>
      </c>
      <c r="AW42" s="69" t="s">
        <v>2</v>
      </c>
      <c r="AX42" s="145" t="s">
        <v>0</v>
      </c>
      <c r="AY42" s="150" t="s">
        <v>65</v>
      </c>
      <c r="AZ42" s="2">
        <v>0</v>
      </c>
      <c r="BA42" s="2">
        <v>0</v>
      </c>
      <c r="BB42" s="2">
        <v>1</v>
      </c>
      <c r="BC42" s="2">
        <v>0</v>
      </c>
    </row>
    <row r="43" spans="1:55" x14ac:dyDescent="0.25">
      <c r="A43" s="69">
        <v>41</v>
      </c>
      <c r="B43" s="31"/>
      <c r="C43" s="10" t="s">
        <v>14</v>
      </c>
      <c r="D43" s="10" t="s">
        <v>22</v>
      </c>
      <c r="E43" s="32">
        <v>30</v>
      </c>
      <c r="F43" s="87" t="s">
        <v>1</v>
      </c>
      <c r="G43" s="87" t="s">
        <v>1</v>
      </c>
      <c r="H43" s="86">
        <v>0</v>
      </c>
      <c r="I43" s="86" t="s">
        <v>107</v>
      </c>
      <c r="J43" s="86">
        <v>0</v>
      </c>
      <c r="K43" s="86">
        <v>0</v>
      </c>
      <c r="L43" s="86">
        <v>0</v>
      </c>
      <c r="M43" s="65">
        <v>0</v>
      </c>
      <c r="N43" s="65" t="s">
        <v>117</v>
      </c>
      <c r="O43" s="65">
        <v>0</v>
      </c>
      <c r="P43" s="65">
        <v>0</v>
      </c>
      <c r="Q43" s="65">
        <v>0</v>
      </c>
      <c r="R43" s="65">
        <v>0</v>
      </c>
      <c r="S43" s="86">
        <v>0</v>
      </c>
      <c r="T43" s="31"/>
      <c r="U43" s="32" t="s">
        <v>24</v>
      </c>
      <c r="V43" s="10" t="s">
        <v>17</v>
      </c>
      <c r="W43" s="32" t="s">
        <v>28</v>
      </c>
      <c r="X43" s="6" t="s">
        <v>19</v>
      </c>
      <c r="Y43" s="88" t="s">
        <v>20</v>
      </c>
      <c r="Z43" s="96">
        <v>0.48</v>
      </c>
      <c r="AA43" s="36">
        <v>0.16666666666666663</v>
      </c>
      <c r="AB43" s="36">
        <v>0.83333333333333337</v>
      </c>
      <c r="AC43" s="37">
        <v>2</v>
      </c>
      <c r="AD43" s="38">
        <v>0.16666666666666666</v>
      </c>
      <c r="AE43" s="35">
        <v>0.16666666666666666</v>
      </c>
      <c r="AF43" s="37">
        <v>1</v>
      </c>
      <c r="AG43" s="37">
        <v>1</v>
      </c>
      <c r="AH43" s="37">
        <v>3</v>
      </c>
      <c r="AI43" s="37">
        <v>0</v>
      </c>
      <c r="AJ43" s="37">
        <v>0</v>
      </c>
      <c r="AK43" s="97">
        <v>0</v>
      </c>
      <c r="AL43" s="32" t="s">
        <v>2</v>
      </c>
      <c r="AM43" s="117" t="s">
        <v>1</v>
      </c>
      <c r="AN43" s="32">
        <v>0</v>
      </c>
      <c r="AO43" s="32" t="s">
        <v>53</v>
      </c>
      <c r="AP43" s="88">
        <v>0</v>
      </c>
      <c r="AQ43" s="69" t="s">
        <v>1</v>
      </c>
      <c r="AR43" s="89" t="s">
        <v>1</v>
      </c>
      <c r="AS43" s="69" t="s">
        <v>2</v>
      </c>
      <c r="AT43" s="10" t="s">
        <v>0</v>
      </c>
      <c r="AU43" s="7" t="s">
        <v>1</v>
      </c>
      <c r="AV43" s="142" t="s">
        <v>2</v>
      </c>
      <c r="AW43" s="69" t="s">
        <v>2</v>
      </c>
      <c r="AX43" s="145" t="s">
        <v>1</v>
      </c>
      <c r="AY43" s="150" t="s">
        <v>61</v>
      </c>
      <c r="AZ43" s="87">
        <v>1</v>
      </c>
      <c r="BA43" s="2">
        <v>0</v>
      </c>
      <c r="BB43" s="2">
        <v>0</v>
      </c>
      <c r="BC43" s="2">
        <v>0</v>
      </c>
    </row>
    <row r="44" spans="1:55" ht="15.75" thickBot="1" x14ac:dyDescent="0.3">
      <c r="A44" s="70">
        <v>42</v>
      </c>
      <c r="B44" s="90"/>
      <c r="C44" s="71" t="s">
        <v>14</v>
      </c>
      <c r="D44" s="71" t="s">
        <v>15</v>
      </c>
      <c r="E44" s="91">
        <v>67</v>
      </c>
      <c r="F44" s="127" t="s">
        <v>1</v>
      </c>
      <c r="G44" s="127" t="s">
        <v>1</v>
      </c>
      <c r="H44" s="86">
        <v>0</v>
      </c>
      <c r="I44" s="86" t="s">
        <v>107</v>
      </c>
      <c r="J44" s="86">
        <v>0</v>
      </c>
      <c r="K44" s="86">
        <v>0</v>
      </c>
      <c r="L44" s="86">
        <v>0</v>
      </c>
      <c r="M44" s="65">
        <v>0</v>
      </c>
      <c r="N44" s="65" t="s">
        <v>117</v>
      </c>
      <c r="O44" s="65">
        <v>0</v>
      </c>
      <c r="P44" s="65">
        <v>0</v>
      </c>
      <c r="Q44" s="65">
        <v>0</v>
      </c>
      <c r="R44" s="65">
        <v>0</v>
      </c>
      <c r="S44" s="86">
        <v>0</v>
      </c>
      <c r="T44" s="90"/>
      <c r="U44" s="91" t="s">
        <v>29</v>
      </c>
      <c r="V44" s="71" t="s">
        <v>17</v>
      </c>
      <c r="W44" s="91" t="s">
        <v>35</v>
      </c>
      <c r="X44" s="91" t="s">
        <v>23</v>
      </c>
      <c r="Y44" s="92" t="s">
        <v>20</v>
      </c>
      <c r="Z44" s="98">
        <v>9.0909090909090912E-2</v>
      </c>
      <c r="AA44" s="99">
        <v>0</v>
      </c>
      <c r="AB44" s="99">
        <v>1</v>
      </c>
      <c r="AC44" s="100">
        <v>0</v>
      </c>
      <c r="AD44" s="101">
        <v>0</v>
      </c>
      <c r="AE44" s="101">
        <v>1</v>
      </c>
      <c r="AF44" s="100">
        <v>0</v>
      </c>
      <c r="AG44" s="100">
        <v>0</v>
      </c>
      <c r="AH44" s="100">
        <v>1</v>
      </c>
      <c r="AI44" s="100">
        <v>0</v>
      </c>
      <c r="AJ44" s="100">
        <v>0</v>
      </c>
      <c r="AK44" s="102">
        <v>0</v>
      </c>
      <c r="AL44" s="32" t="s">
        <v>2</v>
      </c>
      <c r="AM44" s="120" t="s">
        <v>1</v>
      </c>
      <c r="AN44" s="91" t="s">
        <v>52</v>
      </c>
      <c r="AO44" s="91">
        <v>0</v>
      </c>
      <c r="AP44" s="92">
        <v>0</v>
      </c>
      <c r="AQ44" s="70" t="s">
        <v>1</v>
      </c>
      <c r="AR44" s="121" t="s">
        <v>2</v>
      </c>
      <c r="AS44" s="70" t="s">
        <v>1</v>
      </c>
      <c r="AT44" s="71" t="s">
        <v>59</v>
      </c>
      <c r="AU44" s="13" t="s">
        <v>1</v>
      </c>
      <c r="AV44" s="143" t="s">
        <v>2</v>
      </c>
      <c r="AW44" s="70" t="s">
        <v>2</v>
      </c>
      <c r="AX44" s="71" t="s">
        <v>1</v>
      </c>
      <c r="AY44" s="121" t="s">
        <v>61</v>
      </c>
      <c r="AZ44" s="87">
        <v>1</v>
      </c>
      <c r="BA44" s="2">
        <v>0</v>
      </c>
      <c r="BB44" s="2">
        <v>0</v>
      </c>
      <c r="BC44" s="2">
        <v>0</v>
      </c>
    </row>
    <row r="45" spans="1:55" ht="15.75" thickBot="1" x14ac:dyDescent="0.3">
      <c r="A45" s="14"/>
      <c r="B45" s="14"/>
      <c r="C45" s="14"/>
      <c r="D45" s="14"/>
      <c r="E45" s="14"/>
      <c r="F45" s="14"/>
      <c r="G45" s="14"/>
      <c r="H45" s="79"/>
      <c r="I45" s="79"/>
      <c r="J45" s="79"/>
      <c r="K45" s="79"/>
      <c r="L45" s="79"/>
      <c r="M45"/>
      <c r="N45"/>
      <c r="O45"/>
      <c r="P45"/>
      <c r="Q45"/>
      <c r="R45"/>
      <c r="S45" s="79"/>
      <c r="T45" s="14"/>
      <c r="U45" s="14"/>
      <c r="V45" s="14"/>
      <c r="W45" s="14"/>
      <c r="X45" s="14"/>
      <c r="Y45" s="14"/>
      <c r="AS45" s="14"/>
      <c r="AT45" s="14"/>
      <c r="AU45" s="15"/>
      <c r="AV45" s="22"/>
      <c r="AY45" s="14"/>
    </row>
    <row r="46" spans="1:55" ht="15.75" thickBot="1" x14ac:dyDescent="0.3">
      <c r="A46" s="40" t="s">
        <v>38</v>
      </c>
      <c r="B46" s="41" t="s">
        <v>38</v>
      </c>
      <c r="C46" s="16" t="s">
        <v>39</v>
      </c>
      <c r="D46" s="18" t="s">
        <v>15</v>
      </c>
      <c r="E46" s="19" t="s">
        <v>40</v>
      </c>
      <c r="F46" s="18" t="s">
        <v>1</v>
      </c>
      <c r="G46" s="18" t="s">
        <v>1</v>
      </c>
      <c r="H46" s="130" t="s">
        <v>106</v>
      </c>
      <c r="I46" s="131" t="s">
        <v>107</v>
      </c>
      <c r="J46" s="131" t="s">
        <v>108</v>
      </c>
      <c r="K46" s="131" t="s">
        <v>109</v>
      </c>
      <c r="L46" s="136" t="s">
        <v>110</v>
      </c>
      <c r="M46" s="128" t="s">
        <v>116</v>
      </c>
      <c r="N46" s="128" t="s">
        <v>117</v>
      </c>
      <c r="O46" s="128" t="s">
        <v>118</v>
      </c>
      <c r="P46" s="128" t="s">
        <v>119</v>
      </c>
      <c r="Q46" s="128" t="s">
        <v>120</v>
      </c>
      <c r="R46" s="128" t="s">
        <v>121</v>
      </c>
      <c r="S46" s="136" t="s">
        <v>122</v>
      </c>
      <c r="T46" s="40" t="s">
        <v>38</v>
      </c>
      <c r="U46" s="16" t="s">
        <v>16</v>
      </c>
      <c r="V46" s="18" t="s">
        <v>39</v>
      </c>
      <c r="W46" s="16" t="s">
        <v>33</v>
      </c>
      <c r="X46" s="16" t="s">
        <v>23</v>
      </c>
      <c r="Y46" s="16" t="s">
        <v>20</v>
      </c>
      <c r="Z46" s="18" t="s">
        <v>56</v>
      </c>
      <c r="AA46" s="18" t="s">
        <v>56</v>
      </c>
      <c r="AB46" s="18" t="s">
        <v>56</v>
      </c>
      <c r="AC46" s="18" t="s">
        <v>56</v>
      </c>
      <c r="AD46" s="18" t="s">
        <v>56</v>
      </c>
      <c r="AE46" s="18" t="s">
        <v>56</v>
      </c>
      <c r="AF46" s="110" t="s">
        <v>56</v>
      </c>
      <c r="AG46" s="109" t="s">
        <v>56</v>
      </c>
      <c r="AH46" s="109" t="s">
        <v>56</v>
      </c>
      <c r="AI46" s="109" t="s">
        <v>56</v>
      </c>
      <c r="AJ46" s="109" t="s">
        <v>56</v>
      </c>
      <c r="AK46" s="109" t="s">
        <v>56</v>
      </c>
      <c r="AL46" s="18" t="s">
        <v>1</v>
      </c>
      <c r="AM46" s="18" t="s">
        <v>1</v>
      </c>
      <c r="AN46" s="76" t="s">
        <v>55</v>
      </c>
      <c r="AO46" s="76" t="s">
        <v>53</v>
      </c>
      <c r="AP46" s="76" t="s">
        <v>54</v>
      </c>
      <c r="AQ46" s="18" t="s">
        <v>1</v>
      </c>
      <c r="AR46" s="18" t="s">
        <v>1</v>
      </c>
      <c r="AS46" s="54" t="s">
        <v>1</v>
      </c>
      <c r="AT46" s="18" t="s">
        <v>59</v>
      </c>
      <c r="AU46" s="19" t="s">
        <v>1</v>
      </c>
      <c r="AV46" s="76" t="s">
        <v>1</v>
      </c>
      <c r="AW46" s="19" t="s">
        <v>1</v>
      </c>
      <c r="AX46" s="18" t="s">
        <v>1</v>
      </c>
      <c r="AY46" s="18" t="s">
        <v>66</v>
      </c>
      <c r="AZ46" s="147" t="s">
        <v>1</v>
      </c>
      <c r="BA46" s="147" t="s">
        <v>1</v>
      </c>
      <c r="BB46" s="147" t="s">
        <v>1</v>
      </c>
      <c r="BC46" s="148" t="s">
        <v>1</v>
      </c>
    </row>
    <row r="47" spans="1:55" ht="15.75" thickBot="1" x14ac:dyDescent="0.3">
      <c r="A47" s="14"/>
      <c r="B47" s="14"/>
      <c r="C47" s="22">
        <f>COUNTIF(C3:C44, "m")</f>
        <v>3</v>
      </c>
      <c r="D47" s="27">
        <f>COUNTIF(D3:D44, "caucasian")</f>
        <v>31</v>
      </c>
      <c r="E47" s="43">
        <f>AVERAGE(E3:E44)</f>
        <v>58.095238095238095</v>
      </c>
      <c r="F47" s="27">
        <f>COUNTIF(F3:F44, "Yes")</f>
        <v>41</v>
      </c>
      <c r="G47" s="27">
        <f>COUNTIF(G3:G44, "Yes")</f>
        <v>41</v>
      </c>
      <c r="H47" s="132">
        <f>COUNTIF(H3:H44, "*this*")</f>
        <v>1</v>
      </c>
      <c r="I47" s="133">
        <f>COUNTIF(I3:I44, "*less*")</f>
        <v>14</v>
      </c>
      <c r="J47" s="133">
        <f>COUNTIF(J3:J44, "*between*")</f>
        <v>8</v>
      </c>
      <c r="K47" s="133">
        <f>COUNTIF(K3:K44, "*between*")</f>
        <v>3</v>
      </c>
      <c r="L47" s="137">
        <f>COUNTIF(L3:L44, "*more*")</f>
        <v>16</v>
      </c>
      <c r="M47" s="129">
        <f>COUNTIF(M3:M44, "*this*")</f>
        <v>1</v>
      </c>
      <c r="N47" s="129">
        <f>COUNTIF(N3:N44, "*more*")</f>
        <v>7</v>
      </c>
      <c r="O47" s="129">
        <f>COUNTIF(O3:O44, "*once*")</f>
        <v>6</v>
      </c>
      <c r="P47" s="129">
        <f>COUNTIF(P3:P44, "*every*")</f>
        <v>14</v>
      </c>
      <c r="Q47" s="129">
        <f>COUNTIF(Q3:Q44, "*every*")</f>
        <v>2</v>
      </c>
      <c r="R47" s="129">
        <f>COUNTIF(R3:R44, "*every*")</f>
        <v>5</v>
      </c>
      <c r="S47" s="137">
        <f>COUNTIF(S3:S44, "*other*")</f>
        <v>7</v>
      </c>
      <c r="T47" s="14"/>
      <c r="U47" s="22">
        <f>COUNTIF(U3:U44, "PCP")</f>
        <v>14</v>
      </c>
      <c r="V47" s="27">
        <f>COUNTIF(V3:V44, "m")</f>
        <v>35</v>
      </c>
      <c r="W47" s="22">
        <f>COUNTIF(W3:W44, "fl")</f>
        <v>2</v>
      </c>
      <c r="X47" s="22">
        <f>COUNTIF(X3:X44, "urge")</f>
        <v>21</v>
      </c>
      <c r="Y47" s="22">
        <f>COUNTIF(Y3:Y44, "*new*")</f>
        <v>17</v>
      </c>
      <c r="Z47" s="103">
        <f t="shared" ref="Z47:AK47" si="0">AVERAGE(Z3:Z44)</f>
        <v>0.50325999845528202</v>
      </c>
      <c r="AA47" s="103">
        <f t="shared" si="0"/>
        <v>0.11279287547272085</v>
      </c>
      <c r="AB47" s="103">
        <f t="shared" si="0"/>
        <v>0.88720712452727946</v>
      </c>
      <c r="AC47" s="107">
        <f t="shared" si="0"/>
        <v>0.88095238095238093</v>
      </c>
      <c r="AD47" s="103">
        <f t="shared" si="0"/>
        <v>8.5706264533447554E-2</v>
      </c>
      <c r="AE47" s="103">
        <f t="shared" si="0"/>
        <v>0.39481616623880056</v>
      </c>
      <c r="AF47" s="111">
        <f t="shared" si="0"/>
        <v>0.33333333333333331</v>
      </c>
      <c r="AG47" s="107">
        <f t="shared" si="0"/>
        <v>0.42857142857142855</v>
      </c>
      <c r="AH47" s="107">
        <f t="shared" si="0"/>
        <v>2.5</v>
      </c>
      <c r="AI47" s="107">
        <f t="shared" si="0"/>
        <v>4.7619047619047616E-2</v>
      </c>
      <c r="AJ47" s="107">
        <f t="shared" si="0"/>
        <v>7.1428571428571425E-2</v>
      </c>
      <c r="AK47" s="107">
        <f t="shared" si="0"/>
        <v>4.7619047619047616E-2</v>
      </c>
      <c r="AL47" s="27">
        <f>COUNTIF(AL3:AL44, "Yes")</f>
        <v>14</v>
      </c>
      <c r="AM47" s="27">
        <f>COUNTIF(AM3:AM44, "Yes")</f>
        <v>31</v>
      </c>
      <c r="AN47" s="74">
        <f>COUNTIF(AN3:AN44,AN46)</f>
        <v>6</v>
      </c>
      <c r="AO47" s="74">
        <f>COUNTIF(AO3:AO44,AO46)</f>
        <v>18</v>
      </c>
      <c r="AP47" s="74">
        <f>COUNTIF(AP3:AP44,AP46)</f>
        <v>7</v>
      </c>
      <c r="AQ47" s="27">
        <f>COUNTIF(AQ3:AQ44, "Yes")</f>
        <v>28</v>
      </c>
      <c r="AR47" s="27">
        <f>COUNTIF(AR3:AR44, "Yes")</f>
        <v>10</v>
      </c>
      <c r="AS47" s="14">
        <f>COUNTIF(AS3:AS44, "Yes")</f>
        <v>17</v>
      </c>
      <c r="AT47" s="27">
        <f>COUNTIF(AT3:AT44, "Patient")</f>
        <v>9</v>
      </c>
      <c r="AU47" s="20">
        <f>COUNTIF(AU3:AU44, "Yes")</f>
        <v>39</v>
      </c>
      <c r="AV47" s="73">
        <f>COUNTIF(AV3:AV44,"Yes")</f>
        <v>3</v>
      </c>
      <c r="AW47" s="20">
        <f>COUNTIF(AW3:AW44, "Yes")</f>
        <v>7</v>
      </c>
      <c r="AX47" s="27">
        <f>COUNTIF(AX3:AX44, "Yes")</f>
        <v>20</v>
      </c>
      <c r="AY47" s="27">
        <f>COUNTIF(AY3:AY44, "*taken as directed")</f>
        <v>24</v>
      </c>
      <c r="AZ47" s="126">
        <f>SUM(AZ2:AZ43)</f>
        <v>24</v>
      </c>
      <c r="BA47" s="126">
        <f t="shared" ref="BA47:BC47" si="1">SUM(BA2:BA43)</f>
        <v>6</v>
      </c>
      <c r="BB47" s="126">
        <f t="shared" si="1"/>
        <v>10</v>
      </c>
      <c r="BC47" s="74">
        <f t="shared" si="1"/>
        <v>1</v>
      </c>
    </row>
    <row r="48" spans="1:55" x14ac:dyDescent="0.25">
      <c r="A48" s="23"/>
      <c r="B48" s="23"/>
      <c r="C48" s="21" t="s">
        <v>41</v>
      </c>
      <c r="D48" s="26" t="s">
        <v>22</v>
      </c>
      <c r="E48" s="44" t="s">
        <v>42</v>
      </c>
      <c r="F48" s="26" t="s">
        <v>2</v>
      </c>
      <c r="G48" s="26" t="s">
        <v>2</v>
      </c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23"/>
      <c r="U48" s="21" t="s">
        <v>29</v>
      </c>
      <c r="V48" s="26" t="s">
        <v>41</v>
      </c>
      <c r="W48" s="21" t="s">
        <v>32</v>
      </c>
      <c r="X48" s="21" t="s">
        <v>19</v>
      </c>
      <c r="Y48" s="21" t="s">
        <v>21</v>
      </c>
      <c r="Z48" s="26" t="s">
        <v>1</v>
      </c>
      <c r="AA48" s="26" t="s">
        <v>1</v>
      </c>
      <c r="AB48" s="26" t="s">
        <v>1</v>
      </c>
      <c r="AC48" s="26" t="s">
        <v>1</v>
      </c>
      <c r="AD48" s="26" t="s">
        <v>1</v>
      </c>
      <c r="AE48" s="26" t="s">
        <v>1</v>
      </c>
      <c r="AF48" s="112" t="s">
        <v>2</v>
      </c>
      <c r="AG48" s="108">
        <v>0</v>
      </c>
      <c r="AH48" s="108">
        <v>0</v>
      </c>
      <c r="AI48" s="108">
        <v>0</v>
      </c>
      <c r="AJ48" s="108" t="s">
        <v>2</v>
      </c>
      <c r="AK48" s="108" t="s">
        <v>2</v>
      </c>
      <c r="AL48" s="26" t="s">
        <v>2</v>
      </c>
      <c r="AM48" s="26" t="s">
        <v>2</v>
      </c>
      <c r="AQ48" s="26" t="s">
        <v>2</v>
      </c>
      <c r="AR48" s="26" t="s">
        <v>2</v>
      </c>
      <c r="AS48" s="23" t="s">
        <v>2</v>
      </c>
      <c r="AT48" s="26" t="s">
        <v>45</v>
      </c>
      <c r="AU48" s="44" t="s">
        <v>2</v>
      </c>
      <c r="AV48" s="75" t="s">
        <v>51</v>
      </c>
      <c r="AW48" s="44" t="s">
        <v>2</v>
      </c>
      <c r="AX48" s="26" t="s">
        <v>2</v>
      </c>
      <c r="AY48" s="26" t="s">
        <v>67</v>
      </c>
    </row>
    <row r="49" spans="1:51" ht="15.75" thickBot="1" x14ac:dyDescent="0.3">
      <c r="A49" s="14"/>
      <c r="B49" s="14"/>
      <c r="C49" s="22">
        <f>COUNTIF(C3:C44, "F")</f>
        <v>39</v>
      </c>
      <c r="D49" s="27">
        <f>COUNTIF(D3:D44, "african-american")</f>
        <v>7</v>
      </c>
      <c r="E49" s="20">
        <f>MIN(E3:E44)</f>
        <v>23</v>
      </c>
      <c r="F49" s="25">
        <f>COUNTIF(F3:F44, "No")</f>
        <v>1</v>
      </c>
      <c r="G49" s="25">
        <f>COUNTIF(G3:G44, "No")</f>
        <v>1</v>
      </c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4"/>
      <c r="U49" s="22">
        <f>COUNTIF(U3:U44, "uro")</f>
        <v>11</v>
      </c>
      <c r="V49" s="27">
        <f>COUNTIF(V3:V44, "*F*")</f>
        <v>7</v>
      </c>
      <c r="W49" s="22">
        <f>COUNTIF(W3:W44, "ny")</f>
        <v>3</v>
      </c>
      <c r="X49" s="22">
        <f>COUNTIF(X3:X44, "mixed")</f>
        <v>21</v>
      </c>
      <c r="Y49" s="22">
        <f>COUNTIF(Y3:Y44, "established")</f>
        <v>25</v>
      </c>
      <c r="Z49" s="73">
        <f t="shared" ref="Z49:AE49" si="2">COUNTIF(Z3:Z44,"&gt;0")</f>
        <v>42</v>
      </c>
      <c r="AA49" s="73">
        <f t="shared" si="2"/>
        <v>28</v>
      </c>
      <c r="AB49" s="73">
        <f t="shared" si="2"/>
        <v>42</v>
      </c>
      <c r="AC49" s="73">
        <f t="shared" si="2"/>
        <v>22</v>
      </c>
      <c r="AD49" s="73">
        <f t="shared" si="2"/>
        <v>22</v>
      </c>
      <c r="AE49" s="73">
        <f t="shared" si="2"/>
        <v>40</v>
      </c>
      <c r="AF49" s="113">
        <f t="shared" ref="AF49:AK49" si="3">COUNTIF(AF3:AF44,"0")</f>
        <v>28</v>
      </c>
      <c r="AG49" s="73">
        <f t="shared" si="3"/>
        <v>28</v>
      </c>
      <c r="AH49" s="73">
        <f t="shared" si="3"/>
        <v>3</v>
      </c>
      <c r="AI49" s="73">
        <f t="shared" si="3"/>
        <v>40</v>
      </c>
      <c r="AJ49" s="73">
        <f t="shared" si="3"/>
        <v>39</v>
      </c>
      <c r="AK49" s="73">
        <f t="shared" si="3"/>
        <v>40</v>
      </c>
      <c r="AL49" s="25">
        <f>COUNTIF(AL3:AL44, "No")</f>
        <v>28</v>
      </c>
      <c r="AM49" s="25">
        <f>COUNTIF(AM3:AM44, "No")</f>
        <v>11</v>
      </c>
      <c r="AQ49" s="25">
        <f>COUNTIF(AQ3:AQ44, "No")</f>
        <v>14</v>
      </c>
      <c r="AR49" s="27">
        <f>COUNTIF(AR3:AR44, "No")</f>
        <v>19</v>
      </c>
      <c r="AS49" s="124">
        <f>COUNTIF(AS3:AS44, "No")</f>
        <v>25</v>
      </c>
      <c r="AT49" s="27">
        <f>COUNTIF(AT3:AT44, "physician")</f>
        <v>8</v>
      </c>
      <c r="AU49" s="46">
        <f>COUNTIF(AU3:AU44, "No")</f>
        <v>3</v>
      </c>
      <c r="AV49" s="73">
        <f>COUNTIF(AV3:AV44,"partially")</f>
        <v>4</v>
      </c>
      <c r="AW49" s="46">
        <f>COUNTIF(AW3:AW44, "No")</f>
        <v>35</v>
      </c>
      <c r="AX49" s="27">
        <f>COUNTIF(AX3:AX44, "No")</f>
        <v>18</v>
      </c>
      <c r="AY49" s="27">
        <f>COUNTIF(AY3:AY44, "*sometimes skip*")</f>
        <v>14</v>
      </c>
    </row>
    <row r="50" spans="1:51" x14ac:dyDescent="0.25">
      <c r="A50" s="23"/>
      <c r="B50" s="23"/>
      <c r="C50" s="16" t="s">
        <v>43</v>
      </c>
      <c r="D50" s="26" t="s">
        <v>25</v>
      </c>
      <c r="E50" s="44" t="s">
        <v>44</v>
      </c>
      <c r="F50" s="76" t="s">
        <v>43</v>
      </c>
      <c r="G50" s="76" t="s">
        <v>43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134"/>
      <c r="T50" s="23"/>
      <c r="U50" s="26" t="s">
        <v>30</v>
      </c>
      <c r="V50" s="18" t="s">
        <v>43</v>
      </c>
      <c r="W50" s="26" t="s">
        <v>26</v>
      </c>
      <c r="X50" s="16" t="s">
        <v>43</v>
      </c>
      <c r="Y50" s="16" t="s">
        <v>43</v>
      </c>
      <c r="Z50" s="26" t="s">
        <v>2</v>
      </c>
      <c r="AA50" s="26" t="s">
        <v>2</v>
      </c>
      <c r="AB50" s="26" t="s">
        <v>2</v>
      </c>
      <c r="AC50" s="26" t="s">
        <v>2</v>
      </c>
      <c r="AD50" s="26" t="s">
        <v>2</v>
      </c>
      <c r="AE50" s="26" t="s">
        <v>2</v>
      </c>
      <c r="AF50" s="112" t="s">
        <v>1</v>
      </c>
      <c r="AG50" s="108">
        <v>1</v>
      </c>
      <c r="AH50" s="108">
        <v>1</v>
      </c>
      <c r="AI50" s="108">
        <v>1</v>
      </c>
      <c r="AJ50" s="108" t="s">
        <v>1</v>
      </c>
      <c r="AK50" s="108" t="s">
        <v>1</v>
      </c>
      <c r="AL50" s="76" t="s">
        <v>43</v>
      </c>
      <c r="AM50" s="76" t="s">
        <v>43</v>
      </c>
      <c r="AQ50" s="76" t="s">
        <v>43</v>
      </c>
      <c r="AR50" s="75" t="s">
        <v>0</v>
      </c>
      <c r="AS50" s="125" t="s">
        <v>43</v>
      </c>
      <c r="AT50" s="75" t="s">
        <v>0</v>
      </c>
      <c r="AU50" s="122" t="s">
        <v>43</v>
      </c>
      <c r="AV50" s="75" t="s">
        <v>2</v>
      </c>
      <c r="AW50" s="122" t="s">
        <v>43</v>
      </c>
      <c r="AX50" s="75" t="s">
        <v>0</v>
      </c>
      <c r="AY50" s="26" t="s">
        <v>68</v>
      </c>
    </row>
    <row r="51" spans="1:51" ht="15.75" thickBot="1" x14ac:dyDescent="0.3">
      <c r="A51" s="14"/>
      <c r="B51" s="14"/>
      <c r="C51" s="24">
        <f>SUM(C46:C50)</f>
        <v>42</v>
      </c>
      <c r="D51" s="27">
        <f>COUNTIF(D3:D44,"asian")</f>
        <v>2</v>
      </c>
      <c r="E51" s="46">
        <f>MAX(E3:E44)</f>
        <v>85</v>
      </c>
      <c r="F51" s="74">
        <f>SUM(F46:F49)</f>
        <v>42</v>
      </c>
      <c r="G51" s="74">
        <f>SUM(G46:G49)</f>
        <v>42</v>
      </c>
      <c r="S51" s="135"/>
      <c r="T51" s="14"/>
      <c r="U51" s="27">
        <f>COUNTIF(U3:U44, "URO/GYN")</f>
        <v>7</v>
      </c>
      <c r="V51" s="25">
        <f>SUM(V46:V50)</f>
        <v>42</v>
      </c>
      <c r="W51" s="27">
        <f>COUNTIF(W3:W44, "tx")</f>
        <v>4</v>
      </c>
      <c r="X51" s="24">
        <f>SUM(X46:X50)</f>
        <v>42</v>
      </c>
      <c r="Y51" s="24">
        <f>SUM(Y46:Y50)</f>
        <v>42</v>
      </c>
      <c r="Z51" s="73">
        <f t="shared" ref="Z51:AE51" si="4">COUNTIF(Z3:Z44,0)</f>
        <v>0</v>
      </c>
      <c r="AA51" s="73">
        <f t="shared" si="4"/>
        <v>14</v>
      </c>
      <c r="AB51" s="73">
        <f t="shared" si="4"/>
        <v>0</v>
      </c>
      <c r="AC51" s="73">
        <f t="shared" si="4"/>
        <v>20</v>
      </c>
      <c r="AD51" s="73">
        <f t="shared" si="4"/>
        <v>20</v>
      </c>
      <c r="AE51" s="73">
        <f t="shared" si="4"/>
        <v>2</v>
      </c>
      <c r="AF51" s="113">
        <f t="shared" ref="AF51:AK51" si="5">COUNTIF(AF3:AF44,"1")</f>
        <v>14</v>
      </c>
      <c r="AG51" s="73">
        <f t="shared" si="5"/>
        <v>11</v>
      </c>
      <c r="AH51" s="73">
        <f t="shared" si="5"/>
        <v>8</v>
      </c>
      <c r="AI51" s="73">
        <f t="shared" si="5"/>
        <v>2</v>
      </c>
      <c r="AJ51" s="73">
        <f t="shared" si="5"/>
        <v>3</v>
      </c>
      <c r="AK51" s="73">
        <f t="shared" si="5"/>
        <v>2</v>
      </c>
      <c r="AL51" s="74">
        <f>SUM(AL46:AL49)</f>
        <v>42</v>
      </c>
      <c r="AM51" s="74">
        <f>SUM(AM46:AM49)</f>
        <v>42</v>
      </c>
      <c r="AQ51" s="74">
        <f>SUM(AQ46:AQ49)</f>
        <v>42</v>
      </c>
      <c r="AR51" s="73">
        <f>COUNTIF(AR3:AR44,"n/a")</f>
        <v>13</v>
      </c>
      <c r="AS51" s="126">
        <f>SUM(AS46:AS49)</f>
        <v>42</v>
      </c>
      <c r="AT51" s="73">
        <f>COUNTIF(AT2:AT43,"n/a")</f>
        <v>25</v>
      </c>
      <c r="AU51" s="123">
        <f>SUM(AU46:AU49)</f>
        <v>42</v>
      </c>
      <c r="AV51" s="73">
        <f>COUNTIF(AV3:AV44,"no")</f>
        <v>33</v>
      </c>
      <c r="AW51" s="123">
        <f>SUM(AW46:AW49)</f>
        <v>42</v>
      </c>
      <c r="AX51" s="73">
        <f>COUNTIF(AX3:AX44,"n/a")</f>
        <v>4</v>
      </c>
      <c r="AY51" s="25">
        <f>COUNTIF(AY3:AY44, "*other*")</f>
        <v>4</v>
      </c>
    </row>
    <row r="52" spans="1:51" x14ac:dyDescent="0.25">
      <c r="A52" s="14"/>
      <c r="B52" s="14"/>
      <c r="C52" s="14"/>
      <c r="D52" s="26" t="s">
        <v>27</v>
      </c>
      <c r="E52" s="14"/>
      <c r="F52" s="14"/>
      <c r="G52" s="14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4"/>
      <c r="U52" s="26" t="s">
        <v>24</v>
      </c>
      <c r="V52" s="14"/>
      <c r="W52" s="26" t="s">
        <v>28</v>
      </c>
      <c r="X52" s="14"/>
      <c r="Y52" s="14"/>
      <c r="Z52" s="75" t="s">
        <v>43</v>
      </c>
      <c r="AA52" s="75" t="s">
        <v>43</v>
      </c>
      <c r="AB52" s="75" t="s">
        <v>43</v>
      </c>
      <c r="AC52" s="75" t="s">
        <v>43</v>
      </c>
      <c r="AD52" s="75" t="s">
        <v>43</v>
      </c>
      <c r="AE52" s="75" t="s">
        <v>43</v>
      </c>
      <c r="AF52" s="112" t="s">
        <v>43</v>
      </c>
      <c r="AG52" s="108">
        <v>2</v>
      </c>
      <c r="AH52" s="108">
        <v>2</v>
      </c>
      <c r="AI52" s="108">
        <v>2</v>
      </c>
      <c r="AJ52" s="108" t="s">
        <v>43</v>
      </c>
      <c r="AK52" s="108" t="s">
        <v>43</v>
      </c>
      <c r="AR52" s="76" t="s">
        <v>43</v>
      </c>
      <c r="AT52" s="76" t="s">
        <v>43</v>
      </c>
      <c r="AU52" s="15"/>
      <c r="AV52" s="75" t="s">
        <v>0</v>
      </c>
      <c r="AX52" s="76" t="s">
        <v>43</v>
      </c>
      <c r="AY52" s="18" t="s">
        <v>43</v>
      </c>
    </row>
    <row r="53" spans="1:51" ht="15.75" thickBot="1" x14ac:dyDescent="0.3">
      <c r="A53" s="14"/>
      <c r="B53" s="14"/>
      <c r="C53" s="14"/>
      <c r="D53" s="27">
        <f>COUNTIF(D3:D44, "Hispanic")</f>
        <v>2</v>
      </c>
      <c r="E53" s="14"/>
      <c r="F53" s="14"/>
      <c r="G53" s="14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4"/>
      <c r="U53" s="27">
        <f>COUNTIF(U3:U44, "GYN")</f>
        <v>10</v>
      </c>
      <c r="V53" s="14"/>
      <c r="W53" s="27">
        <f>COUNTIF(W3:W44, "il")</f>
        <v>7</v>
      </c>
      <c r="X53" s="14"/>
      <c r="Y53" s="14"/>
      <c r="Z53" s="73">
        <f t="shared" ref="Z53:AE53" si="6">SUM(Z49:Z51)</f>
        <v>42</v>
      </c>
      <c r="AA53" s="73">
        <f t="shared" si="6"/>
        <v>42</v>
      </c>
      <c r="AB53" s="73">
        <f t="shared" si="6"/>
        <v>42</v>
      </c>
      <c r="AC53" s="73">
        <f t="shared" si="6"/>
        <v>42</v>
      </c>
      <c r="AD53" s="73">
        <f t="shared" si="6"/>
        <v>42</v>
      </c>
      <c r="AE53" s="73">
        <f t="shared" si="6"/>
        <v>42</v>
      </c>
      <c r="AF53" s="113">
        <f>AF49+AF51</f>
        <v>42</v>
      </c>
      <c r="AG53" s="73">
        <f>COUNTIF(AG3:AG44,"2")</f>
        <v>2</v>
      </c>
      <c r="AH53" s="73">
        <f>COUNTIF(AH3:AH44,"2")</f>
        <v>11</v>
      </c>
      <c r="AI53" s="73">
        <f>COUNTIF(AI3:AI44,"2")</f>
        <v>0</v>
      </c>
      <c r="AJ53" s="73">
        <f>AJ49+AJ51</f>
        <v>42</v>
      </c>
      <c r="AK53" s="73">
        <f>AK49+AK51</f>
        <v>42</v>
      </c>
      <c r="AR53" s="74">
        <f>SUM(AR46:AR51)</f>
        <v>42</v>
      </c>
      <c r="AT53" s="74">
        <f>SUM(AT46:AT51)</f>
        <v>42</v>
      </c>
      <c r="AU53" s="15"/>
      <c r="AV53" s="74">
        <f>COUNTIF(AV3:AV44,"n/a")</f>
        <v>2</v>
      </c>
      <c r="AX53" s="74">
        <f>SUM(AX46:AX51)</f>
        <v>42</v>
      </c>
      <c r="AY53" s="25">
        <f>SUM(AY47+AY49+AY51)</f>
        <v>42</v>
      </c>
    </row>
    <row r="54" spans="1:51" x14ac:dyDescent="0.25">
      <c r="A54" s="14"/>
      <c r="B54" s="14"/>
      <c r="C54" s="14"/>
      <c r="D54" s="18" t="s">
        <v>43</v>
      </c>
      <c r="E54" s="14"/>
      <c r="F54" s="14"/>
      <c r="G54" s="14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4"/>
      <c r="U54" s="18" t="s">
        <v>43</v>
      </c>
      <c r="V54" s="14"/>
      <c r="W54" s="48" t="s">
        <v>18</v>
      </c>
      <c r="X54" s="14"/>
      <c r="Y54" s="14"/>
      <c r="Z54" s="104" t="s">
        <v>1</v>
      </c>
      <c r="AA54" s="104" t="s">
        <v>1</v>
      </c>
      <c r="AB54" s="104" t="s">
        <v>1</v>
      </c>
      <c r="AC54" s="104" t="s">
        <v>1</v>
      </c>
      <c r="AD54" s="104" t="s">
        <v>1</v>
      </c>
      <c r="AE54" s="104" t="s">
        <v>1</v>
      </c>
      <c r="AF54" s="112" t="s">
        <v>1</v>
      </c>
      <c r="AG54" s="108">
        <v>3</v>
      </c>
      <c r="AH54" s="108">
        <v>3</v>
      </c>
      <c r="AI54" s="108">
        <v>3</v>
      </c>
      <c r="AJ54" s="108" t="s">
        <v>1</v>
      </c>
      <c r="AK54" s="108" t="s">
        <v>1</v>
      </c>
      <c r="AU54" s="15"/>
      <c r="AV54" s="76" t="s">
        <v>43</v>
      </c>
      <c r="AY54" s="14"/>
    </row>
    <row r="55" spans="1:51" ht="15.75" thickBot="1" x14ac:dyDescent="0.3">
      <c r="A55" s="14"/>
      <c r="B55" s="14"/>
      <c r="C55" s="14"/>
      <c r="D55" s="25">
        <f>SUM(D46:D54)</f>
        <v>42</v>
      </c>
      <c r="E55" s="14"/>
      <c r="F55" s="14"/>
      <c r="G55" s="14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4"/>
      <c r="U55" s="25">
        <f>SUM(U46:U54)</f>
        <v>42</v>
      </c>
      <c r="V55" s="14"/>
      <c r="W55" s="49">
        <f>COUNTIF(W3:W44, "CA")</f>
        <v>7</v>
      </c>
      <c r="X55" s="14"/>
      <c r="Y55" s="14"/>
      <c r="Z55" s="105">
        <f t="shared" ref="Z55:AE55" si="7">Z49/Z53</f>
        <v>1</v>
      </c>
      <c r="AA55" s="105">
        <f t="shared" si="7"/>
        <v>0.66666666666666663</v>
      </c>
      <c r="AB55" s="105">
        <f t="shared" si="7"/>
        <v>1</v>
      </c>
      <c r="AC55" s="105">
        <f t="shared" si="7"/>
        <v>0.52380952380952384</v>
      </c>
      <c r="AD55" s="105">
        <f t="shared" si="7"/>
        <v>0.52380952380952384</v>
      </c>
      <c r="AE55" s="105">
        <f t="shared" si="7"/>
        <v>0.95238095238095233</v>
      </c>
      <c r="AF55" s="114">
        <f>AF51/AF53</f>
        <v>0.33333333333333331</v>
      </c>
      <c r="AG55" s="73">
        <f>COUNTIF(AG3:AG44,"3")</f>
        <v>1</v>
      </c>
      <c r="AH55" s="73">
        <f>COUNTIF(AH3:AH44,"3")</f>
        <v>12</v>
      </c>
      <c r="AI55" s="73">
        <f>COUNTIF(AI3:AI44,"3")</f>
        <v>0</v>
      </c>
      <c r="AJ55" s="105">
        <f>AJ51/AJ53</f>
        <v>7.1428571428571425E-2</v>
      </c>
      <c r="AK55" s="105">
        <f>AK51/AK53</f>
        <v>4.7619047619047616E-2</v>
      </c>
      <c r="AU55" s="15"/>
      <c r="AV55" s="74">
        <f>SUM(AV46:AV54)</f>
        <v>42</v>
      </c>
      <c r="AY55" s="14"/>
    </row>
    <row r="56" spans="1:51" x14ac:dyDescent="0.25">
      <c r="A56" s="14"/>
      <c r="B56" s="14"/>
      <c r="C56" s="14"/>
      <c r="D56" s="14"/>
      <c r="T56" s="14"/>
      <c r="U56" s="14"/>
      <c r="V56" s="14"/>
      <c r="W56" s="48" t="s">
        <v>31</v>
      </c>
      <c r="X56" s="14"/>
      <c r="Y56" s="14"/>
      <c r="Z56" s="104" t="s">
        <v>2</v>
      </c>
      <c r="AA56" s="104" t="s">
        <v>2</v>
      </c>
      <c r="AB56" s="104" t="s">
        <v>2</v>
      </c>
      <c r="AC56" s="104" t="s">
        <v>2</v>
      </c>
      <c r="AD56" s="104" t="s">
        <v>2</v>
      </c>
      <c r="AE56" s="104" t="s">
        <v>2</v>
      </c>
      <c r="AF56" s="112" t="s">
        <v>2</v>
      </c>
      <c r="AG56" s="108">
        <v>4</v>
      </c>
      <c r="AH56" s="108">
        <v>4</v>
      </c>
      <c r="AI56" s="108">
        <v>4</v>
      </c>
      <c r="AJ56" s="108" t="s">
        <v>2</v>
      </c>
      <c r="AK56" s="108" t="s">
        <v>2</v>
      </c>
      <c r="AU56" s="15"/>
      <c r="AY56" s="14"/>
    </row>
    <row r="57" spans="1:51" ht="15.75" thickBot="1" x14ac:dyDescent="0.3">
      <c r="A57" s="14"/>
      <c r="B57" s="14"/>
      <c r="C57" s="14"/>
      <c r="D57" s="14"/>
      <c r="T57" s="14"/>
      <c r="U57" s="14"/>
      <c r="V57" s="14"/>
      <c r="W57" s="49">
        <f>COUNTIF(W3:W44, "NJ")</f>
        <v>10</v>
      </c>
      <c r="X57" s="14"/>
      <c r="Y57" s="14"/>
      <c r="Z57" s="106">
        <f t="shared" ref="Z57:AE57" si="8">Z51/Z53</f>
        <v>0</v>
      </c>
      <c r="AA57" s="106">
        <f t="shared" si="8"/>
        <v>0.33333333333333331</v>
      </c>
      <c r="AB57" s="106">
        <f t="shared" si="8"/>
        <v>0</v>
      </c>
      <c r="AC57" s="106">
        <f t="shared" si="8"/>
        <v>0.47619047619047616</v>
      </c>
      <c r="AD57" s="106">
        <f t="shared" si="8"/>
        <v>0.47619047619047616</v>
      </c>
      <c r="AE57" s="106">
        <f t="shared" si="8"/>
        <v>4.7619047619047616E-2</v>
      </c>
      <c r="AF57" s="115">
        <f>AF49/AF53</f>
        <v>0.66666666666666663</v>
      </c>
      <c r="AG57" s="73">
        <f>COUNTIF(AG3:AG44,"4")</f>
        <v>0</v>
      </c>
      <c r="AH57" s="73">
        <f>COUNTIF(AH3:AH44,"4")</f>
        <v>6</v>
      </c>
      <c r="AI57" s="73">
        <f>COUNTIF(AI3:AI44,"4")</f>
        <v>0</v>
      </c>
      <c r="AJ57" s="106">
        <f>AJ49/AJ53</f>
        <v>0.9285714285714286</v>
      </c>
      <c r="AK57" s="106">
        <f>AK49/AK53</f>
        <v>0.95238095238095233</v>
      </c>
      <c r="AU57" s="15"/>
      <c r="AY57" s="14"/>
    </row>
    <row r="58" spans="1:51" x14ac:dyDescent="0.25">
      <c r="A58" s="14"/>
      <c r="C58" s="14"/>
      <c r="T58" s="14"/>
      <c r="U58" s="14"/>
      <c r="V58" s="14"/>
      <c r="W58" s="48" t="s">
        <v>35</v>
      </c>
      <c r="X58" s="14"/>
      <c r="Y58" s="14"/>
      <c r="AG58" s="108">
        <v>5</v>
      </c>
      <c r="AH58" s="108">
        <v>5</v>
      </c>
      <c r="AI58" s="108">
        <v>5</v>
      </c>
      <c r="AJ58" s="45"/>
      <c r="AK58" s="45"/>
      <c r="AU58" s="15"/>
      <c r="AY58" s="14"/>
    </row>
    <row r="59" spans="1:51" x14ac:dyDescent="0.25">
      <c r="A59" s="14"/>
      <c r="C59" s="14"/>
      <c r="T59" s="14"/>
      <c r="U59" s="14"/>
      <c r="V59" s="14"/>
      <c r="W59" s="49">
        <f>COUNTIF(W3:W44, "MI")</f>
        <v>2</v>
      </c>
      <c r="X59" s="14"/>
      <c r="Y59" s="14"/>
      <c r="AG59" s="73">
        <f>COUNTIF(AG3:AG44,"5")</f>
        <v>0</v>
      </c>
      <c r="AH59" s="73">
        <f>COUNTIF(AH3:AH44,"5")</f>
        <v>0</v>
      </c>
      <c r="AI59" s="73">
        <f>COUNTIF(AI3:AI44,"5")</f>
        <v>0</v>
      </c>
      <c r="AJ59" s="42"/>
      <c r="AK59" s="42"/>
      <c r="AU59" s="15"/>
      <c r="AY59" s="14"/>
    </row>
    <row r="60" spans="1:51" x14ac:dyDescent="0.25">
      <c r="U60" s="14"/>
      <c r="W60" s="48" t="s">
        <v>36</v>
      </c>
      <c r="AG60" s="108">
        <v>6</v>
      </c>
      <c r="AH60" s="108">
        <v>6</v>
      </c>
      <c r="AI60" s="108">
        <v>6</v>
      </c>
      <c r="AJ60" s="45"/>
      <c r="AK60" s="45"/>
    </row>
    <row r="61" spans="1:51" x14ac:dyDescent="0.25">
      <c r="U61" s="14"/>
      <c r="W61" s="49">
        <f>COUNTIF(W3:W44, "SC")</f>
        <v>1</v>
      </c>
      <c r="AG61" s="73">
        <f>COUNTIF(AG3:AG44,"6")</f>
        <v>0</v>
      </c>
      <c r="AH61" s="73">
        <f>COUNTIF(AH3:AH44,"6")</f>
        <v>1</v>
      </c>
      <c r="AI61" s="73">
        <f>COUNTIF(AI3:AI44,"6")</f>
        <v>0</v>
      </c>
      <c r="AJ61" s="42"/>
      <c r="AK61" s="42"/>
    </row>
    <row r="62" spans="1:51" x14ac:dyDescent="0.25">
      <c r="W62" s="48" t="s">
        <v>37</v>
      </c>
      <c r="AG62" s="108">
        <v>7</v>
      </c>
      <c r="AH62" s="108">
        <v>7</v>
      </c>
      <c r="AI62" s="108">
        <v>7</v>
      </c>
      <c r="AJ62" s="45"/>
      <c r="AK62" s="45"/>
    </row>
    <row r="63" spans="1:51" ht="15.75" thickBot="1" x14ac:dyDescent="0.3">
      <c r="W63" s="49">
        <f>COUNTIF(W3:W44, "OH")</f>
        <v>6</v>
      </c>
      <c r="AG63" s="73">
        <f>COUNTIF(AG3:AG44,"7")</f>
        <v>0</v>
      </c>
      <c r="AH63" s="73">
        <f>COUNTIF(AH3:AH44,"7")</f>
        <v>0</v>
      </c>
      <c r="AI63" s="73">
        <f>COUNTIF(AI3:AI44,"7")</f>
        <v>0</v>
      </c>
      <c r="AJ63" s="42"/>
      <c r="AK63" s="42"/>
    </row>
    <row r="64" spans="1:51" x14ac:dyDescent="0.25">
      <c r="W64" s="51" t="s">
        <v>43</v>
      </c>
      <c r="AG64" s="108">
        <v>8</v>
      </c>
      <c r="AH64" s="108">
        <v>8</v>
      </c>
      <c r="AI64" s="108">
        <v>8</v>
      </c>
      <c r="AJ64" s="45"/>
      <c r="AK64" s="45"/>
    </row>
    <row r="65" spans="23:37" ht="15.75" thickBot="1" x14ac:dyDescent="0.3">
      <c r="W65" s="52">
        <f>SUM(W46:W64)</f>
        <v>42</v>
      </c>
      <c r="AG65" s="73">
        <f>COUNTIF(AG3:AG44,"8")</f>
        <v>0</v>
      </c>
      <c r="AH65" s="73">
        <f>COUNTIF(AH3:AH44,"8")</f>
        <v>0</v>
      </c>
      <c r="AI65" s="73">
        <f>COUNTIF(AI3:AI44,"8")</f>
        <v>0</v>
      </c>
      <c r="AJ65" s="42"/>
      <c r="AK65" s="42"/>
    </row>
    <row r="66" spans="23:37" x14ac:dyDescent="0.25">
      <c r="AG66" s="108">
        <v>9</v>
      </c>
      <c r="AH66" s="108">
        <v>9</v>
      </c>
      <c r="AI66" s="108">
        <v>9</v>
      </c>
      <c r="AJ66" s="45"/>
      <c r="AK66" s="45"/>
    </row>
    <row r="67" spans="23:37" x14ac:dyDescent="0.25">
      <c r="AG67" s="73">
        <f>COUNTIF(AG3:AG44,"9")</f>
        <v>0</v>
      </c>
      <c r="AH67" s="73">
        <f>COUNTIF(AH3:AH44,"9")</f>
        <v>1</v>
      </c>
      <c r="AI67" s="73">
        <f>COUNTIF(AI3:AI44,"9")</f>
        <v>0</v>
      </c>
      <c r="AJ67" s="42"/>
      <c r="AK67" s="42"/>
    </row>
    <row r="68" spans="23:37" x14ac:dyDescent="0.25">
      <c r="AG68" s="108" t="s">
        <v>43</v>
      </c>
      <c r="AH68" s="108" t="s">
        <v>43</v>
      </c>
      <c r="AI68" s="108" t="s">
        <v>43</v>
      </c>
      <c r="AJ68" s="45"/>
      <c r="AK68" s="45"/>
    </row>
    <row r="69" spans="23:37" x14ac:dyDescent="0.25">
      <c r="AG69" s="73">
        <f>AG49+AG51+AG53+AG55+AG57+AG59+AG61+AG63+AG65+AG67</f>
        <v>42</v>
      </c>
      <c r="AH69" s="73">
        <f>AH49+AH51+AH53+AH55+AH57+AH59+AH61+AH63+AH65+AH67</f>
        <v>42</v>
      </c>
      <c r="AI69" s="73">
        <f>AI49+AI51+AI53+AI55+AI57+AI59+AI61+AI63+AI65+AI67</f>
        <v>42</v>
      </c>
      <c r="AJ69" s="42"/>
      <c r="AK69" s="42"/>
    </row>
    <row r="70" spans="23:37" x14ac:dyDescent="0.25">
      <c r="AG70" s="108" t="s">
        <v>1</v>
      </c>
      <c r="AH70" s="108" t="s">
        <v>1</v>
      </c>
      <c r="AI70" s="108" t="s">
        <v>1</v>
      </c>
      <c r="AJ70" s="45"/>
      <c r="AK70" s="45"/>
    </row>
    <row r="71" spans="23:37" x14ac:dyDescent="0.25">
      <c r="AG71" s="73">
        <f>AG51+AG53+AG55+AG57+AG59+AG61+AG63+AG65+AG67</f>
        <v>14</v>
      </c>
      <c r="AH71" s="73">
        <f>AH51+AH53+AH55+AH57+AH59+AH61+AH63+AH65+AH67</f>
        <v>39</v>
      </c>
      <c r="AI71" s="73">
        <f>AI51+AI53+AI55+AI57+AI59+AI61+AI63+AI65+AI67</f>
        <v>2</v>
      </c>
      <c r="AJ71" s="42"/>
      <c r="AK71" s="42"/>
    </row>
    <row r="72" spans="23:37" x14ac:dyDescent="0.25">
      <c r="AG72" s="105">
        <f>AG71/AG69</f>
        <v>0.33333333333333331</v>
      </c>
      <c r="AH72" s="105">
        <f t="shared" ref="AH72:AI72" si="9">AH71/AH69</f>
        <v>0.9285714285714286</v>
      </c>
      <c r="AI72" s="105">
        <f t="shared" si="9"/>
        <v>4.7619047619047616E-2</v>
      </c>
      <c r="AJ72" s="50"/>
      <c r="AK72" s="50"/>
    </row>
    <row r="73" spans="23:37" x14ac:dyDescent="0.25">
      <c r="AG73" s="108" t="s">
        <v>2</v>
      </c>
      <c r="AH73" s="108" t="s">
        <v>2</v>
      </c>
      <c r="AI73" s="108" t="s">
        <v>2</v>
      </c>
      <c r="AJ73" s="45"/>
      <c r="AK73" s="45"/>
    </row>
    <row r="74" spans="23:37" x14ac:dyDescent="0.25">
      <c r="AG74" s="73">
        <f>AG49</f>
        <v>28</v>
      </c>
      <c r="AH74" s="73">
        <f t="shared" ref="AH74:AI74" si="10">AH49</f>
        <v>3</v>
      </c>
      <c r="AI74" s="73">
        <f t="shared" si="10"/>
        <v>40</v>
      </c>
      <c r="AJ74" s="42"/>
      <c r="AK74" s="42"/>
    </row>
    <row r="75" spans="23:37" ht="15.75" thickBot="1" x14ac:dyDescent="0.3">
      <c r="AG75" s="106">
        <f>AG74/AG69</f>
        <v>0.66666666666666663</v>
      </c>
      <c r="AH75" s="106">
        <f>AH74/AH69</f>
        <v>7.1428571428571425E-2</v>
      </c>
      <c r="AI75" s="106">
        <f t="shared" ref="AI75" si="11">AI74/AI69</f>
        <v>0.95238095238095233</v>
      </c>
      <c r="AJ75" s="50"/>
      <c r="AK75" s="50"/>
    </row>
  </sheetData>
  <autoFilter ref="A2:BE44"/>
  <mergeCells count="7">
    <mergeCell ref="AZ1:BC1"/>
    <mergeCell ref="AW1:AY1"/>
    <mergeCell ref="A1:Y1"/>
    <mergeCell ref="Z1:AK1"/>
    <mergeCell ref="AM1:AP1"/>
    <mergeCell ref="AQ1:AR1"/>
    <mergeCell ref="AS1:AV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pane xSplit="3" ySplit="2" topLeftCell="K9" activePane="bottomRight" state="frozen"/>
      <selection pane="topRight" activeCell="D1" sqref="D1"/>
      <selection pane="bottomLeft" activeCell="A3" sqref="A3"/>
      <selection pane="bottomRight" activeCell="G11" sqref="G11"/>
    </sheetView>
  </sheetViews>
  <sheetFormatPr defaultRowHeight="15" x14ac:dyDescent="0.25"/>
  <cols>
    <col min="1" max="1" width="4.7109375" style="1" customWidth="1"/>
    <col min="2" max="3" width="9.140625" style="1"/>
    <col min="4" max="4" width="10.5703125" style="1" customWidth="1"/>
    <col min="5" max="5" width="9.140625" style="1"/>
    <col min="6" max="6" width="10.42578125" style="1" customWidth="1"/>
    <col min="7" max="7" width="19.42578125" style="1" customWidth="1"/>
    <col min="8" max="8" width="15.42578125" style="1" customWidth="1"/>
    <col min="9" max="18" width="18.42578125" style="1" customWidth="1"/>
    <col min="19" max="16384" width="9.140625" style="1"/>
  </cols>
  <sheetData>
    <row r="1" spans="1:18" ht="15.75" customHeight="1" thickBot="1" x14ac:dyDescent="0.3">
      <c r="A1" s="55"/>
      <c r="B1" s="55"/>
      <c r="C1" s="55"/>
      <c r="D1" s="55"/>
      <c r="E1" s="55"/>
      <c r="F1" s="55"/>
      <c r="G1" s="55"/>
    </row>
    <row r="2" spans="1:18" ht="60" x14ac:dyDescent="0.25">
      <c r="A2" s="55"/>
      <c r="B2" s="66" t="s">
        <v>73</v>
      </c>
      <c r="C2" s="67" t="s">
        <v>8</v>
      </c>
      <c r="D2" s="67" t="s">
        <v>9</v>
      </c>
      <c r="E2" s="67" t="s">
        <v>10</v>
      </c>
      <c r="F2" s="67" t="s">
        <v>74</v>
      </c>
      <c r="G2" s="67" t="s">
        <v>75</v>
      </c>
      <c r="H2" s="67" t="s">
        <v>77</v>
      </c>
      <c r="I2" s="67" t="s">
        <v>78</v>
      </c>
      <c r="J2" s="67" t="s">
        <v>79</v>
      </c>
      <c r="K2" s="67" t="s">
        <v>80</v>
      </c>
      <c r="L2" s="67" t="s">
        <v>81</v>
      </c>
      <c r="M2" s="67" t="s">
        <v>82</v>
      </c>
      <c r="N2" s="67" t="s">
        <v>83</v>
      </c>
      <c r="O2" s="67" t="s">
        <v>84</v>
      </c>
      <c r="P2" s="67" t="s">
        <v>85</v>
      </c>
      <c r="Q2" s="67" t="s">
        <v>86</v>
      </c>
      <c r="R2" s="68" t="s">
        <v>87</v>
      </c>
    </row>
    <row r="3" spans="1:18" x14ac:dyDescent="0.25">
      <c r="A3" s="55"/>
      <c r="B3" s="69">
        <v>1</v>
      </c>
      <c r="C3" s="139"/>
      <c r="D3" s="10" t="s">
        <v>16</v>
      </c>
      <c r="E3" s="10" t="s">
        <v>39</v>
      </c>
      <c r="F3" s="10" t="s">
        <v>18</v>
      </c>
      <c r="G3" s="56">
        <v>23</v>
      </c>
      <c r="H3" s="10" t="s">
        <v>2</v>
      </c>
      <c r="I3" s="5" t="s">
        <v>2</v>
      </c>
      <c r="J3" s="5" t="s">
        <v>46</v>
      </c>
      <c r="K3" s="5" t="s">
        <v>1</v>
      </c>
      <c r="L3" s="5" t="s">
        <v>2</v>
      </c>
      <c r="M3" s="5" t="s">
        <v>2</v>
      </c>
      <c r="N3" s="5" t="s">
        <v>1</v>
      </c>
      <c r="O3" s="7" t="s">
        <v>2</v>
      </c>
      <c r="P3" s="7" t="s">
        <v>1</v>
      </c>
      <c r="Q3" s="7" t="s">
        <v>2</v>
      </c>
      <c r="R3" s="11" t="s">
        <v>2</v>
      </c>
    </row>
    <row r="4" spans="1:18" x14ac:dyDescent="0.25">
      <c r="A4" s="55"/>
      <c r="B4" s="69">
        <v>2</v>
      </c>
      <c r="C4" s="139"/>
      <c r="D4" s="10" t="s">
        <v>16</v>
      </c>
      <c r="E4" s="10" t="s">
        <v>39</v>
      </c>
      <c r="F4" s="10" t="s">
        <v>18</v>
      </c>
      <c r="G4" s="56">
        <v>26</v>
      </c>
      <c r="H4" s="10" t="s">
        <v>1</v>
      </c>
      <c r="I4" s="80" t="s">
        <v>1</v>
      </c>
      <c r="J4" s="80" t="s">
        <v>2</v>
      </c>
      <c r="K4" s="80" t="s">
        <v>1</v>
      </c>
      <c r="L4" s="80" t="s">
        <v>2</v>
      </c>
      <c r="M4" s="80" t="s">
        <v>2</v>
      </c>
      <c r="N4" s="5" t="s">
        <v>2</v>
      </c>
      <c r="O4" s="7" t="s">
        <v>2</v>
      </c>
      <c r="P4" s="7" t="s">
        <v>1</v>
      </c>
      <c r="Q4" s="7" t="s">
        <v>2</v>
      </c>
      <c r="R4" s="11" t="s">
        <v>2</v>
      </c>
    </row>
    <row r="5" spans="1:18" x14ac:dyDescent="0.25">
      <c r="A5" s="55"/>
      <c r="B5" s="69">
        <v>3</v>
      </c>
      <c r="C5" s="139"/>
      <c r="D5" s="10" t="s">
        <v>24</v>
      </c>
      <c r="E5" s="10" t="s">
        <v>39</v>
      </c>
      <c r="F5" s="10" t="s">
        <v>18</v>
      </c>
      <c r="G5" s="56">
        <v>15</v>
      </c>
      <c r="H5" s="10" t="s">
        <v>1</v>
      </c>
      <c r="I5" s="80" t="s">
        <v>1</v>
      </c>
      <c r="J5" s="80" t="s">
        <v>46</v>
      </c>
      <c r="K5" s="80" t="s">
        <v>1</v>
      </c>
      <c r="L5" s="80" t="s">
        <v>2</v>
      </c>
      <c r="M5" s="80" t="s">
        <v>2</v>
      </c>
      <c r="N5" s="5" t="s">
        <v>1</v>
      </c>
      <c r="O5" s="7" t="s">
        <v>2</v>
      </c>
      <c r="P5" s="7" t="s">
        <v>1</v>
      </c>
      <c r="Q5" s="7" t="s">
        <v>2</v>
      </c>
      <c r="R5" s="11" t="s">
        <v>1</v>
      </c>
    </row>
    <row r="6" spans="1:18" x14ac:dyDescent="0.25">
      <c r="A6" s="55"/>
      <c r="B6" s="69">
        <v>4</v>
      </c>
      <c r="C6" s="139"/>
      <c r="D6" s="10" t="s">
        <v>24</v>
      </c>
      <c r="E6" s="10" t="s">
        <v>39</v>
      </c>
      <c r="F6" s="10" t="s">
        <v>26</v>
      </c>
      <c r="G6" s="56">
        <v>8</v>
      </c>
      <c r="H6" s="10" t="s">
        <v>2</v>
      </c>
      <c r="I6" s="5" t="s">
        <v>2</v>
      </c>
      <c r="J6" s="5" t="s">
        <v>46</v>
      </c>
      <c r="K6" s="5" t="s">
        <v>1</v>
      </c>
      <c r="L6" s="5" t="s">
        <v>2</v>
      </c>
      <c r="M6" s="5" t="s">
        <v>2</v>
      </c>
      <c r="N6" s="5" t="s">
        <v>1</v>
      </c>
      <c r="O6" s="7" t="s">
        <v>2</v>
      </c>
      <c r="P6" s="7" t="s">
        <v>1</v>
      </c>
      <c r="Q6" s="7" t="s">
        <v>2</v>
      </c>
      <c r="R6" s="11" t="s">
        <v>2</v>
      </c>
    </row>
    <row r="7" spans="1:18" x14ac:dyDescent="0.25">
      <c r="A7" s="55"/>
      <c r="B7" s="69">
        <v>5</v>
      </c>
      <c r="C7" s="139"/>
      <c r="D7" s="10" t="s">
        <v>24</v>
      </c>
      <c r="E7" s="10" t="s">
        <v>39</v>
      </c>
      <c r="F7" s="10" t="s">
        <v>28</v>
      </c>
      <c r="G7" s="56">
        <v>22</v>
      </c>
      <c r="H7" s="10" t="s">
        <v>1</v>
      </c>
      <c r="I7" s="80" t="s">
        <v>1</v>
      </c>
      <c r="J7" s="80" t="s">
        <v>46</v>
      </c>
      <c r="K7" s="80" t="s">
        <v>1</v>
      </c>
      <c r="L7" s="80" t="s">
        <v>2</v>
      </c>
      <c r="M7" s="80" t="s">
        <v>2</v>
      </c>
      <c r="N7" s="5" t="s">
        <v>2</v>
      </c>
      <c r="O7" s="7" t="s">
        <v>1</v>
      </c>
      <c r="P7" s="7" t="s">
        <v>2</v>
      </c>
      <c r="Q7" s="7" t="s">
        <v>2</v>
      </c>
      <c r="R7" s="11" t="s">
        <v>2</v>
      </c>
    </row>
    <row r="8" spans="1:18" x14ac:dyDescent="0.25">
      <c r="A8" s="55"/>
      <c r="B8" s="69">
        <v>6</v>
      </c>
      <c r="C8" s="139"/>
      <c r="D8" s="10" t="s">
        <v>29</v>
      </c>
      <c r="E8" s="10" t="s">
        <v>39</v>
      </c>
      <c r="F8" s="10" t="s">
        <v>28</v>
      </c>
      <c r="G8" s="56">
        <v>20</v>
      </c>
      <c r="H8" s="10" t="s">
        <v>1</v>
      </c>
      <c r="I8" s="80" t="s">
        <v>1</v>
      </c>
      <c r="J8" s="80" t="s">
        <v>46</v>
      </c>
      <c r="K8" s="80" t="s">
        <v>1</v>
      </c>
      <c r="L8" s="80" t="s">
        <v>1</v>
      </c>
      <c r="M8" s="80" t="s">
        <v>1</v>
      </c>
      <c r="N8" s="5" t="s">
        <v>2</v>
      </c>
      <c r="O8" s="7" t="s">
        <v>2</v>
      </c>
      <c r="P8" s="7" t="s">
        <v>2</v>
      </c>
      <c r="Q8" s="7" t="s">
        <v>2</v>
      </c>
      <c r="R8" s="11" t="s">
        <v>2</v>
      </c>
    </row>
    <row r="9" spans="1:18" x14ac:dyDescent="0.25">
      <c r="A9" s="55"/>
      <c r="B9" s="69">
        <v>7</v>
      </c>
      <c r="C9" s="139"/>
      <c r="D9" s="10" t="s">
        <v>30</v>
      </c>
      <c r="E9" s="10" t="s">
        <v>41</v>
      </c>
      <c r="F9" s="10" t="s">
        <v>31</v>
      </c>
      <c r="G9" s="56">
        <v>4</v>
      </c>
      <c r="H9" s="10" t="s">
        <v>1</v>
      </c>
      <c r="I9" s="80" t="s">
        <v>1</v>
      </c>
      <c r="J9" s="80" t="s">
        <v>46</v>
      </c>
      <c r="K9" s="80" t="s">
        <v>1</v>
      </c>
      <c r="L9" s="80" t="s">
        <v>2</v>
      </c>
      <c r="M9" s="80" t="s">
        <v>2</v>
      </c>
      <c r="N9" s="5" t="s">
        <v>1</v>
      </c>
      <c r="O9" s="7" t="s">
        <v>1</v>
      </c>
      <c r="P9" s="7" t="s">
        <v>1</v>
      </c>
      <c r="Q9" s="7" t="s">
        <v>1</v>
      </c>
      <c r="R9" s="11" t="s">
        <v>1</v>
      </c>
    </row>
    <row r="10" spans="1:18" x14ac:dyDescent="0.25">
      <c r="A10" s="55"/>
      <c r="B10" s="69">
        <v>8</v>
      </c>
      <c r="C10" s="139"/>
      <c r="D10" s="10" t="s">
        <v>29</v>
      </c>
      <c r="E10" s="10" t="s">
        <v>39</v>
      </c>
      <c r="F10" s="10" t="s">
        <v>32</v>
      </c>
      <c r="G10" s="56">
        <v>25</v>
      </c>
      <c r="H10" s="10" t="s">
        <v>1</v>
      </c>
      <c r="I10" s="5" t="s">
        <v>1</v>
      </c>
      <c r="J10" s="5" t="s">
        <v>2</v>
      </c>
      <c r="K10" s="5" t="s">
        <v>1</v>
      </c>
      <c r="L10" s="5" t="s">
        <v>2</v>
      </c>
      <c r="M10" s="80" t="s">
        <v>2</v>
      </c>
      <c r="N10" s="5" t="s">
        <v>1</v>
      </c>
      <c r="O10" s="7" t="s">
        <v>1</v>
      </c>
      <c r="P10" s="7" t="s">
        <v>1</v>
      </c>
      <c r="Q10" s="7" t="s">
        <v>1</v>
      </c>
      <c r="R10" s="11" t="s">
        <v>1</v>
      </c>
    </row>
    <row r="11" spans="1:18" x14ac:dyDescent="0.25">
      <c r="A11" s="55"/>
      <c r="B11" s="69">
        <v>9</v>
      </c>
      <c r="C11" s="139"/>
      <c r="D11" s="10" t="s">
        <v>16</v>
      </c>
      <c r="E11" s="10" t="s">
        <v>39</v>
      </c>
      <c r="F11" s="10" t="s">
        <v>31</v>
      </c>
      <c r="G11" s="56">
        <v>26</v>
      </c>
      <c r="H11" s="10" t="s">
        <v>1</v>
      </c>
      <c r="I11" s="5" t="s">
        <v>1</v>
      </c>
      <c r="J11" s="5" t="s">
        <v>2</v>
      </c>
      <c r="K11" s="5" t="s">
        <v>1</v>
      </c>
      <c r="L11" s="5" t="s">
        <v>2</v>
      </c>
      <c r="M11" s="80" t="s">
        <v>2</v>
      </c>
      <c r="N11" s="5" t="s">
        <v>1</v>
      </c>
      <c r="O11" s="7" t="s">
        <v>1</v>
      </c>
      <c r="P11" s="7" t="s">
        <v>1</v>
      </c>
      <c r="Q11" s="7" t="s">
        <v>1</v>
      </c>
      <c r="R11" s="11" t="s">
        <v>1</v>
      </c>
    </row>
    <row r="12" spans="1:18" x14ac:dyDescent="0.25">
      <c r="A12" s="55"/>
      <c r="B12" s="69">
        <v>10</v>
      </c>
      <c r="C12" s="139"/>
      <c r="D12" s="10" t="s">
        <v>29</v>
      </c>
      <c r="E12" s="10" t="s">
        <v>39</v>
      </c>
      <c r="F12" s="10" t="s">
        <v>33</v>
      </c>
      <c r="G12" s="56">
        <v>30</v>
      </c>
      <c r="H12" s="10" t="s">
        <v>1</v>
      </c>
      <c r="I12" s="80" t="s">
        <v>2</v>
      </c>
      <c r="J12" s="80" t="s">
        <v>46</v>
      </c>
      <c r="K12" s="80" t="s">
        <v>1</v>
      </c>
      <c r="L12" s="80" t="s">
        <v>2</v>
      </c>
      <c r="M12" s="80" t="s">
        <v>2</v>
      </c>
      <c r="N12" s="5" t="s">
        <v>2</v>
      </c>
      <c r="O12" s="7" t="s">
        <v>2</v>
      </c>
      <c r="P12" s="7" t="s">
        <v>1</v>
      </c>
      <c r="Q12" s="7" t="s">
        <v>2</v>
      </c>
      <c r="R12" s="11" t="s">
        <v>2</v>
      </c>
    </row>
    <row r="13" spans="1:18" x14ac:dyDescent="0.25">
      <c r="A13" s="55"/>
      <c r="B13" s="69">
        <v>11</v>
      </c>
      <c r="C13" s="139"/>
      <c r="D13" s="10" t="s">
        <v>16</v>
      </c>
      <c r="E13" s="10" t="s">
        <v>41</v>
      </c>
      <c r="F13" s="10" t="s">
        <v>31</v>
      </c>
      <c r="G13" s="56">
        <v>20</v>
      </c>
      <c r="H13" s="10" t="s">
        <v>1</v>
      </c>
      <c r="I13" s="80" t="s">
        <v>1</v>
      </c>
      <c r="J13" s="80" t="s">
        <v>2</v>
      </c>
      <c r="K13" s="80" t="s">
        <v>1</v>
      </c>
      <c r="L13" s="80" t="s">
        <v>2</v>
      </c>
      <c r="M13" s="80" t="s">
        <v>2</v>
      </c>
      <c r="N13" s="5" t="s">
        <v>1</v>
      </c>
      <c r="O13" s="7" t="s">
        <v>2</v>
      </c>
      <c r="P13" s="7" t="s">
        <v>2</v>
      </c>
      <c r="Q13" s="7" t="s">
        <v>2</v>
      </c>
      <c r="R13" s="11" t="s">
        <v>1</v>
      </c>
    </row>
    <row r="14" spans="1:18" x14ac:dyDescent="0.25">
      <c r="A14" s="55"/>
      <c r="B14" s="69">
        <v>12</v>
      </c>
      <c r="C14" s="139"/>
      <c r="D14" s="10" t="s">
        <v>16</v>
      </c>
      <c r="E14" s="10" t="s">
        <v>41</v>
      </c>
      <c r="F14" s="10" t="s">
        <v>31</v>
      </c>
      <c r="G14" s="56">
        <v>4</v>
      </c>
      <c r="H14" s="10" t="s">
        <v>1</v>
      </c>
      <c r="I14" s="5" t="s">
        <v>1</v>
      </c>
      <c r="J14" s="5" t="s">
        <v>2</v>
      </c>
      <c r="K14" s="5" t="s">
        <v>1</v>
      </c>
      <c r="L14" s="5" t="s">
        <v>2</v>
      </c>
      <c r="M14" s="80" t="s">
        <v>2</v>
      </c>
      <c r="N14" s="5" t="s">
        <v>2</v>
      </c>
      <c r="O14" s="7" t="s">
        <v>2</v>
      </c>
      <c r="P14" s="7" t="s">
        <v>2</v>
      </c>
      <c r="Q14" s="7" t="s">
        <v>2</v>
      </c>
      <c r="R14" s="11" t="s">
        <v>1</v>
      </c>
    </row>
    <row r="15" spans="1:18" x14ac:dyDescent="0.25">
      <c r="A15" s="55"/>
      <c r="B15" s="69">
        <v>13</v>
      </c>
      <c r="C15" s="139"/>
      <c r="D15" s="10" t="s">
        <v>29</v>
      </c>
      <c r="E15" s="10" t="s">
        <v>39</v>
      </c>
      <c r="F15" s="10" t="s">
        <v>35</v>
      </c>
      <c r="G15" s="56">
        <v>30</v>
      </c>
      <c r="H15" s="10" t="s">
        <v>1</v>
      </c>
      <c r="I15" s="5" t="s">
        <v>1</v>
      </c>
      <c r="J15" s="5" t="s">
        <v>2</v>
      </c>
      <c r="K15" s="5" t="s">
        <v>1</v>
      </c>
      <c r="L15" s="5" t="s">
        <v>2</v>
      </c>
      <c r="M15" s="80" t="s">
        <v>2</v>
      </c>
      <c r="N15" s="5" t="s">
        <v>2</v>
      </c>
      <c r="O15" s="7" t="s">
        <v>2</v>
      </c>
      <c r="P15" s="7" t="s">
        <v>1</v>
      </c>
      <c r="Q15" s="7" t="s">
        <v>2</v>
      </c>
      <c r="R15" s="11" t="s">
        <v>2</v>
      </c>
    </row>
    <row r="16" spans="1:18" x14ac:dyDescent="0.25">
      <c r="A16" s="55"/>
      <c r="B16" s="69">
        <v>14</v>
      </c>
      <c r="C16" s="139"/>
      <c r="D16" s="10" t="s">
        <v>29</v>
      </c>
      <c r="E16" s="10" t="s">
        <v>39</v>
      </c>
      <c r="F16" s="10" t="s">
        <v>36</v>
      </c>
      <c r="G16" s="56">
        <v>5</v>
      </c>
      <c r="H16" s="10" t="s">
        <v>1</v>
      </c>
      <c r="I16" s="5" t="s">
        <v>1</v>
      </c>
      <c r="J16" s="5" t="s">
        <v>46</v>
      </c>
      <c r="K16" s="5" t="s">
        <v>1</v>
      </c>
      <c r="L16" s="5" t="s">
        <v>1</v>
      </c>
      <c r="M16" s="5" t="s">
        <v>2</v>
      </c>
      <c r="N16" s="5" t="s">
        <v>2</v>
      </c>
      <c r="O16" s="7" t="s">
        <v>1</v>
      </c>
      <c r="P16" s="7" t="s">
        <v>2</v>
      </c>
      <c r="Q16" s="7" t="s">
        <v>2</v>
      </c>
      <c r="R16" s="11" t="s">
        <v>2</v>
      </c>
    </row>
    <row r="17" spans="1:18" x14ac:dyDescent="0.25">
      <c r="A17" s="55"/>
      <c r="B17" s="69">
        <v>15</v>
      </c>
      <c r="C17" s="139"/>
      <c r="D17" s="10" t="s">
        <v>30</v>
      </c>
      <c r="E17" s="10" t="s">
        <v>39</v>
      </c>
      <c r="F17" s="10" t="s">
        <v>37</v>
      </c>
      <c r="G17" s="56">
        <v>25</v>
      </c>
      <c r="H17" s="10" t="s">
        <v>1</v>
      </c>
      <c r="I17" s="80" t="s">
        <v>1</v>
      </c>
      <c r="J17" s="80" t="s">
        <v>46</v>
      </c>
      <c r="K17" s="80" t="s">
        <v>1</v>
      </c>
      <c r="L17" s="80" t="s">
        <v>1</v>
      </c>
      <c r="M17" s="80" t="s">
        <v>1</v>
      </c>
      <c r="N17" s="5" t="s">
        <v>1</v>
      </c>
      <c r="O17" s="7" t="s">
        <v>1</v>
      </c>
      <c r="P17" s="7" t="s">
        <v>1</v>
      </c>
      <c r="Q17" s="7" t="s">
        <v>1</v>
      </c>
      <c r="R17" s="11" t="s">
        <v>2</v>
      </c>
    </row>
    <row r="18" spans="1:18" x14ac:dyDescent="0.25">
      <c r="A18" s="55"/>
      <c r="B18" s="69">
        <v>16</v>
      </c>
      <c r="C18" s="139"/>
      <c r="D18" s="10" t="s">
        <v>16</v>
      </c>
      <c r="E18" s="10" t="s">
        <v>39</v>
      </c>
      <c r="F18" s="10" t="s">
        <v>37</v>
      </c>
      <c r="G18" s="56">
        <v>17</v>
      </c>
      <c r="H18" s="10" t="s">
        <v>1</v>
      </c>
      <c r="I18" s="5" t="s">
        <v>1</v>
      </c>
      <c r="J18" s="5" t="s">
        <v>46</v>
      </c>
      <c r="K18" s="5" t="s">
        <v>1</v>
      </c>
      <c r="L18" s="5" t="s">
        <v>2</v>
      </c>
      <c r="M18" s="80" t="s">
        <v>2</v>
      </c>
      <c r="N18" s="5" t="s">
        <v>2</v>
      </c>
      <c r="O18" s="7" t="s">
        <v>1</v>
      </c>
      <c r="P18" s="7" t="s">
        <v>1</v>
      </c>
      <c r="Q18" s="7" t="s">
        <v>1</v>
      </c>
      <c r="R18" s="11" t="s">
        <v>1</v>
      </c>
    </row>
    <row r="19" spans="1:18" ht="15.75" thickBot="1" x14ac:dyDescent="0.3">
      <c r="A19" s="55"/>
      <c r="B19" s="70">
        <v>17</v>
      </c>
      <c r="C19" s="140"/>
      <c r="D19" s="71" t="s">
        <v>16</v>
      </c>
      <c r="E19" s="71" t="s">
        <v>39</v>
      </c>
      <c r="F19" s="71" t="s">
        <v>33</v>
      </c>
      <c r="G19" s="72">
        <v>17</v>
      </c>
      <c r="H19" s="71" t="s">
        <v>2</v>
      </c>
      <c r="I19" s="12" t="s">
        <v>2</v>
      </c>
      <c r="J19" s="12" t="s">
        <v>2</v>
      </c>
      <c r="K19" s="12" t="s">
        <v>1</v>
      </c>
      <c r="L19" s="12" t="s">
        <v>2</v>
      </c>
      <c r="M19" s="81" t="s">
        <v>2</v>
      </c>
      <c r="N19" s="12" t="s">
        <v>2</v>
      </c>
      <c r="O19" s="13" t="s">
        <v>2</v>
      </c>
      <c r="P19" s="13" t="s">
        <v>1</v>
      </c>
      <c r="Q19" s="13" t="s">
        <v>2</v>
      </c>
      <c r="R19" s="82" t="s">
        <v>2</v>
      </c>
    </row>
    <row r="20" spans="1:18" ht="15.75" thickBot="1" x14ac:dyDescent="0.3">
      <c r="A20" s="55"/>
      <c r="B20" s="14"/>
      <c r="C20" s="14"/>
      <c r="D20" s="14"/>
      <c r="E20" s="14"/>
      <c r="F20" s="55"/>
      <c r="G20" s="55"/>
    </row>
    <row r="21" spans="1:18" ht="15.75" thickBot="1" x14ac:dyDescent="0.3">
      <c r="A21" s="57"/>
      <c r="B21" s="58" t="s">
        <v>38</v>
      </c>
      <c r="C21" s="59" t="s">
        <v>38</v>
      </c>
      <c r="D21" s="17" t="s">
        <v>16</v>
      </c>
      <c r="E21" s="60" t="s">
        <v>39</v>
      </c>
      <c r="F21" s="18" t="s">
        <v>18</v>
      </c>
      <c r="G21" s="51" t="s">
        <v>56</v>
      </c>
      <c r="H21" s="18" t="s">
        <v>1</v>
      </c>
      <c r="I21" s="18" t="s">
        <v>1</v>
      </c>
      <c r="J21" s="18" t="s">
        <v>1</v>
      </c>
      <c r="K21" s="18" t="s">
        <v>1</v>
      </c>
      <c r="L21" s="18" t="s">
        <v>1</v>
      </c>
      <c r="M21" s="18" t="s">
        <v>1</v>
      </c>
      <c r="N21" s="18" t="s">
        <v>1</v>
      </c>
      <c r="O21" s="18" t="s">
        <v>1</v>
      </c>
      <c r="P21" s="18" t="s">
        <v>1</v>
      </c>
      <c r="Q21" s="18" t="s">
        <v>1</v>
      </c>
      <c r="R21" s="18" t="s">
        <v>1</v>
      </c>
    </row>
    <row r="22" spans="1:18" x14ac:dyDescent="0.25">
      <c r="A22" s="55"/>
      <c r="B22" s="55"/>
      <c r="C22" s="55"/>
      <c r="D22" s="27">
        <f>COUNTIF(D3:D19,"PCP")</f>
        <v>7</v>
      </c>
      <c r="E22" s="47">
        <f>COUNTIF(E3:E19,"male")</f>
        <v>14</v>
      </c>
      <c r="F22" s="27">
        <f>COUNTIF(F3:F19,"ca")</f>
        <v>3</v>
      </c>
      <c r="G22" s="61">
        <f t="shared" ref="G22" si="0">AVERAGE(G3:G19)</f>
        <v>18.647058823529413</v>
      </c>
      <c r="H22" s="63">
        <f t="shared" ref="H22:R22" si="1">COUNTIF(H3:H19,"yes")</f>
        <v>14</v>
      </c>
      <c r="I22" s="63">
        <f t="shared" si="1"/>
        <v>13</v>
      </c>
      <c r="J22" s="63">
        <f t="shared" si="1"/>
        <v>10</v>
      </c>
      <c r="K22" s="63">
        <f t="shared" si="1"/>
        <v>17</v>
      </c>
      <c r="L22" s="63">
        <f t="shared" si="1"/>
        <v>3</v>
      </c>
      <c r="M22" s="63">
        <f t="shared" si="1"/>
        <v>2</v>
      </c>
      <c r="N22" s="63">
        <f t="shared" si="1"/>
        <v>8</v>
      </c>
      <c r="O22" s="63">
        <f t="shared" si="1"/>
        <v>7</v>
      </c>
      <c r="P22" s="63">
        <f t="shared" si="1"/>
        <v>12</v>
      </c>
      <c r="Q22" s="63">
        <f t="shared" si="1"/>
        <v>5</v>
      </c>
      <c r="R22" s="63">
        <f t="shared" si="1"/>
        <v>7</v>
      </c>
    </row>
    <row r="23" spans="1:18" x14ac:dyDescent="0.25">
      <c r="A23" s="57"/>
      <c r="B23" s="57"/>
      <c r="C23" s="57"/>
      <c r="D23" s="26" t="s">
        <v>29</v>
      </c>
      <c r="E23" s="53" t="s">
        <v>41</v>
      </c>
      <c r="F23" s="26" t="s">
        <v>32</v>
      </c>
      <c r="G23" s="48" t="s">
        <v>42</v>
      </c>
      <c r="H23" s="26" t="s">
        <v>2</v>
      </c>
      <c r="I23" s="26" t="s">
        <v>2</v>
      </c>
      <c r="J23" s="26" t="s">
        <v>2</v>
      </c>
      <c r="K23" s="26" t="s">
        <v>2</v>
      </c>
      <c r="L23" s="26" t="s">
        <v>2</v>
      </c>
      <c r="M23" s="26" t="s">
        <v>2</v>
      </c>
      <c r="N23" s="26" t="s">
        <v>2</v>
      </c>
      <c r="O23" s="26" t="s">
        <v>2</v>
      </c>
      <c r="P23" s="26" t="s">
        <v>2</v>
      </c>
      <c r="Q23" s="26" t="s">
        <v>2</v>
      </c>
      <c r="R23" s="26" t="s">
        <v>2</v>
      </c>
    </row>
    <row r="24" spans="1:18" ht="15.75" thickBot="1" x14ac:dyDescent="0.3">
      <c r="A24" s="55"/>
      <c r="B24" s="55"/>
      <c r="C24" s="55"/>
      <c r="D24" s="27">
        <f>COUNTIF(D3:D19, "URO")</f>
        <v>5</v>
      </c>
      <c r="E24" s="47">
        <f>COUNTIF(E3:E19,"female")</f>
        <v>3</v>
      </c>
      <c r="F24" s="27">
        <f>COUNTIF(F3:F19,"NY")</f>
        <v>1</v>
      </c>
      <c r="G24" s="49">
        <f t="shared" ref="G24" si="2">MIN(G3:G19)</f>
        <v>4</v>
      </c>
      <c r="H24" s="63">
        <f t="shared" ref="H24:R24" si="3">COUNTIF(H3:H19,"no")</f>
        <v>3</v>
      </c>
      <c r="I24" s="63">
        <f t="shared" si="3"/>
        <v>4</v>
      </c>
      <c r="J24" s="63">
        <f t="shared" si="3"/>
        <v>7</v>
      </c>
      <c r="K24" s="63">
        <f t="shared" si="3"/>
        <v>0</v>
      </c>
      <c r="L24" s="63">
        <f t="shared" si="3"/>
        <v>14</v>
      </c>
      <c r="M24" s="63">
        <f t="shared" si="3"/>
        <v>15</v>
      </c>
      <c r="N24" s="63">
        <f t="shared" si="3"/>
        <v>9</v>
      </c>
      <c r="O24" s="63">
        <f t="shared" si="3"/>
        <v>10</v>
      </c>
      <c r="P24" s="63">
        <f t="shared" si="3"/>
        <v>5</v>
      </c>
      <c r="Q24" s="63">
        <f t="shared" si="3"/>
        <v>12</v>
      </c>
      <c r="R24" s="63">
        <f t="shared" si="3"/>
        <v>10</v>
      </c>
    </row>
    <row r="25" spans="1:18" x14ac:dyDescent="0.25">
      <c r="A25" s="57"/>
      <c r="B25" s="57"/>
      <c r="C25" s="57"/>
      <c r="D25" s="26" t="s">
        <v>24</v>
      </c>
      <c r="E25" s="60" t="s">
        <v>43</v>
      </c>
      <c r="F25" s="26" t="s">
        <v>28</v>
      </c>
      <c r="G25" s="48" t="s">
        <v>44</v>
      </c>
      <c r="H25" s="18" t="s">
        <v>43</v>
      </c>
      <c r="I25" s="18" t="s">
        <v>43</v>
      </c>
      <c r="J25" s="18" t="s">
        <v>43</v>
      </c>
      <c r="K25" s="18" t="s">
        <v>43</v>
      </c>
      <c r="L25" s="18" t="s">
        <v>43</v>
      </c>
      <c r="M25" s="18" t="s">
        <v>43</v>
      </c>
      <c r="N25" s="18" t="s">
        <v>43</v>
      </c>
      <c r="O25" s="18" t="s">
        <v>43</v>
      </c>
      <c r="P25" s="18" t="s">
        <v>43</v>
      </c>
      <c r="Q25" s="18" t="s">
        <v>43</v>
      </c>
      <c r="R25" s="18" t="s">
        <v>43</v>
      </c>
    </row>
    <row r="26" spans="1:18" ht="15.75" thickBot="1" x14ac:dyDescent="0.3">
      <c r="A26" s="55"/>
      <c r="B26" s="55"/>
      <c r="C26" s="55"/>
      <c r="D26" s="27">
        <f>COUNTIF(D3:D19, "GYN")</f>
        <v>3</v>
      </c>
      <c r="E26" s="62">
        <f>SUM(E21:E25)</f>
        <v>17</v>
      </c>
      <c r="F26" s="27">
        <f>COUNTIF(F3:F19,"IL")</f>
        <v>2</v>
      </c>
      <c r="G26" s="49">
        <f t="shared" ref="G26" si="4">MAX(G3:G19)</f>
        <v>30</v>
      </c>
      <c r="H26" s="64">
        <f t="shared" ref="H26:R26" si="5">SUM(H21:H24)</f>
        <v>17</v>
      </c>
      <c r="I26" s="64">
        <f t="shared" si="5"/>
        <v>17</v>
      </c>
      <c r="J26" s="64">
        <f t="shared" si="5"/>
        <v>17</v>
      </c>
      <c r="K26" s="64">
        <f t="shared" si="5"/>
        <v>17</v>
      </c>
      <c r="L26" s="64">
        <f t="shared" si="5"/>
        <v>17</v>
      </c>
      <c r="M26" s="64">
        <f t="shared" si="5"/>
        <v>17</v>
      </c>
      <c r="N26" s="64">
        <f t="shared" si="5"/>
        <v>17</v>
      </c>
      <c r="O26" s="64">
        <f t="shared" si="5"/>
        <v>17</v>
      </c>
      <c r="P26" s="64">
        <f t="shared" si="5"/>
        <v>17</v>
      </c>
      <c r="Q26" s="64">
        <f t="shared" si="5"/>
        <v>17</v>
      </c>
      <c r="R26" s="64">
        <f t="shared" si="5"/>
        <v>17</v>
      </c>
    </row>
    <row r="27" spans="1:18" x14ac:dyDescent="0.25">
      <c r="A27" s="57"/>
      <c r="B27" s="57"/>
      <c r="C27" s="57"/>
      <c r="D27" s="26" t="s">
        <v>30</v>
      </c>
      <c r="E27" s="57"/>
      <c r="F27" s="28" t="s">
        <v>26</v>
      </c>
      <c r="G27" s="51" t="s">
        <v>43</v>
      </c>
    </row>
    <row r="28" spans="1:18" ht="15.75" thickBot="1" x14ac:dyDescent="0.3">
      <c r="A28" s="55"/>
      <c r="B28" s="55"/>
      <c r="C28" s="55"/>
      <c r="D28" s="27">
        <f>COUNTIF(D3:D19, "URO/GYN")</f>
        <v>2</v>
      </c>
      <c r="E28" s="55"/>
      <c r="F28" s="27">
        <f>COUNTIF(F3:F19,"TX")</f>
        <v>1</v>
      </c>
      <c r="G28" s="52">
        <f t="shared" ref="G28" si="6">COUNTA(G3:G19)</f>
        <v>17</v>
      </c>
    </row>
    <row r="29" spans="1:18" x14ac:dyDescent="0.25">
      <c r="A29" s="57"/>
      <c r="B29" s="57"/>
      <c r="C29" s="57"/>
      <c r="D29" s="51" t="s">
        <v>43</v>
      </c>
      <c r="E29" s="57"/>
      <c r="F29" s="28" t="s">
        <v>31</v>
      </c>
      <c r="G29" s="57"/>
    </row>
    <row r="30" spans="1:18" ht="15.75" thickBot="1" x14ac:dyDescent="0.3">
      <c r="A30" s="55"/>
      <c r="B30" s="55"/>
      <c r="C30" s="55"/>
      <c r="D30" s="52">
        <f>SUM(D21:D29)</f>
        <v>17</v>
      </c>
      <c r="E30" s="55"/>
      <c r="F30" s="49">
        <f>COUNTIF(F3:F19, "NJ")</f>
        <v>4</v>
      </c>
      <c r="G30" s="55"/>
    </row>
    <row r="31" spans="1:18" x14ac:dyDescent="0.25">
      <c r="A31" s="55"/>
      <c r="B31" s="55"/>
      <c r="C31" s="55"/>
      <c r="D31" s="55"/>
      <c r="E31" s="55"/>
      <c r="F31" s="26" t="s">
        <v>35</v>
      </c>
      <c r="G31" s="55"/>
    </row>
    <row r="32" spans="1:18" x14ac:dyDescent="0.25">
      <c r="A32" s="55"/>
      <c r="B32" s="55"/>
      <c r="C32" s="55"/>
      <c r="D32" s="55"/>
      <c r="E32" s="55"/>
      <c r="F32" s="49">
        <f>COUNTIF(F3:F19, "MI")</f>
        <v>1</v>
      </c>
      <c r="G32" s="55"/>
    </row>
    <row r="33" spans="1:7" x14ac:dyDescent="0.25">
      <c r="A33" s="55"/>
      <c r="B33" s="55"/>
      <c r="C33" s="55"/>
      <c r="D33" s="55"/>
      <c r="E33" s="55"/>
      <c r="F33" s="49" t="s">
        <v>33</v>
      </c>
      <c r="G33" s="55"/>
    </row>
    <row r="34" spans="1:7" x14ac:dyDescent="0.25">
      <c r="A34" s="55"/>
      <c r="B34" s="55"/>
      <c r="C34" s="55"/>
      <c r="D34" s="55"/>
      <c r="E34" s="55"/>
      <c r="F34" s="49">
        <f>COUNTIF(F3:F19, "FL")</f>
        <v>2</v>
      </c>
      <c r="G34" s="55"/>
    </row>
    <row r="35" spans="1:7" x14ac:dyDescent="0.25">
      <c r="A35" s="55"/>
      <c r="B35" s="55"/>
      <c r="C35" s="55"/>
      <c r="D35" s="55"/>
      <c r="E35" s="55"/>
      <c r="F35" s="49" t="s">
        <v>37</v>
      </c>
      <c r="G35" s="55"/>
    </row>
    <row r="36" spans="1:7" x14ac:dyDescent="0.25">
      <c r="A36" s="55"/>
      <c r="B36" s="55"/>
      <c r="C36" s="55"/>
      <c r="D36" s="55"/>
      <c r="E36" s="55"/>
      <c r="F36" s="49">
        <f>COUNTIF(F3:F19, "OH")</f>
        <v>2</v>
      </c>
      <c r="G36" s="55"/>
    </row>
    <row r="37" spans="1:7" x14ac:dyDescent="0.25">
      <c r="A37" s="55"/>
      <c r="B37" s="55"/>
      <c r="C37" s="55"/>
      <c r="D37" s="55"/>
      <c r="E37" s="55"/>
      <c r="F37" s="49" t="s">
        <v>36</v>
      </c>
      <c r="G37" s="55"/>
    </row>
    <row r="38" spans="1:7" ht="15.75" thickBot="1" x14ac:dyDescent="0.3">
      <c r="A38" s="55"/>
      <c r="B38" s="55"/>
      <c r="C38" s="55"/>
      <c r="D38" s="55"/>
      <c r="E38" s="55"/>
      <c r="F38" s="52">
        <f>COUNTIF(F3:F19, "SC")</f>
        <v>1</v>
      </c>
      <c r="G38" s="55"/>
    </row>
    <row r="39" spans="1:7" x14ac:dyDescent="0.25">
      <c r="A39" s="55"/>
      <c r="B39" s="55"/>
      <c r="C39" s="55"/>
      <c r="D39" s="55"/>
      <c r="E39" s="55"/>
      <c r="F39" s="51" t="s">
        <v>43</v>
      </c>
      <c r="G39" s="55"/>
    </row>
    <row r="40" spans="1:7" ht="15.75" thickBot="1" x14ac:dyDescent="0.3">
      <c r="A40" s="55"/>
      <c r="B40" s="55"/>
      <c r="C40" s="55"/>
      <c r="D40" s="55"/>
      <c r="E40" s="55"/>
      <c r="F40" s="52">
        <f>SUM(F21:F39)</f>
        <v>17</v>
      </c>
      <c r="G40" s="55"/>
    </row>
    <row r="41" spans="1:7" x14ac:dyDescent="0.25">
      <c r="A41" s="55"/>
      <c r="B41" s="55"/>
      <c r="C41" s="55"/>
      <c r="D41" s="55"/>
      <c r="E41" s="55"/>
      <c r="F41" s="53"/>
      <c r="G41" s="55"/>
    </row>
    <row r="42" spans="1:7" x14ac:dyDescent="0.25">
      <c r="A42" s="55"/>
      <c r="B42" s="55"/>
      <c r="C42" s="55"/>
      <c r="D42" s="55"/>
      <c r="E42" s="55"/>
      <c r="F42" s="47"/>
      <c r="G42" s="5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6E8A5DE5959F4F9CE06F108D9FB849" ma:contentTypeVersion="2" ma:contentTypeDescription="Create a new document." ma:contentTypeScope="" ma:versionID="7c09f45edc2bf15a78485c5ba517ea32">
  <xsd:schema xmlns:xsd="http://www.w3.org/2001/XMLSchema" xmlns:xs="http://www.w3.org/2001/XMLSchema" xmlns:p="http://schemas.microsoft.com/office/2006/metadata/properties" xmlns:ns2="801afad0-7545-41e3-bf7a-118c65e3f8e3" targetNamespace="http://schemas.microsoft.com/office/2006/metadata/properties" ma:root="true" ma:fieldsID="a1b6490a1cfd40bfcc31ccfd5c3eabe8" ns2:_="">
    <xsd:import namespace="801afad0-7545-41e3-bf7a-118c65e3f8e3"/>
    <xsd:element name="properties">
      <xsd:complexType>
        <xsd:sequence>
          <xsd:element name="documentManagement">
            <xsd:complexType>
              <xsd:all>
                <xsd:element ref="ns2:Business_x0020_Un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fad0-7545-41e3-bf7a-118c65e3f8e3" elementFormDefault="qualified">
    <xsd:import namespace="http://schemas.microsoft.com/office/2006/documentManagement/types"/>
    <xsd:import namespace="http://schemas.microsoft.com/office/infopath/2007/PartnerControls"/>
    <xsd:element name="Business_x0020_Unit" ma:index="8" nillable="true" ma:displayName="Business Unit" ma:internalName="Business_x0020_Un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Unit xmlns="801afad0-7545-41e3-bf7a-118c65e3f8e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D86B1A-CC82-48D2-AB95-AABD1FCFE095}"/>
</file>

<file path=customXml/itemProps2.xml><?xml version="1.0" encoding="utf-8"?>
<ds:datastoreItem xmlns:ds="http://schemas.openxmlformats.org/officeDocument/2006/customXml" ds:itemID="{8AB20DAF-01CB-4325-AC87-1989EFD0B9AA}"/>
</file>

<file path=customXml/itemProps3.xml><?xml version="1.0" encoding="utf-8"?>
<ds:datastoreItem xmlns:ds="http://schemas.openxmlformats.org/officeDocument/2006/customXml" ds:itemID="{EA3429EE-201C-4F31-BADD-DCE35A5E51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by Patient</vt:lpstr>
      <vt:lpstr>Data by Physician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hewetka</dc:creator>
  <cp:lastModifiedBy>hewetka</cp:lastModifiedBy>
  <dcterms:created xsi:type="dcterms:W3CDTF">2014-11-05T18:32:44Z</dcterms:created>
  <dcterms:modified xsi:type="dcterms:W3CDTF">2016-06-22T21:36:55Z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0x0101009B6E8A5DE5959F4F9CE06F108D9FB849</vt:lpwstr>
  </property>
</Properties>
</file>