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date1904="1" showInkAnnotation="0" autoCompressPictures="0"/>
  <bookViews>
    <workbookView xWindow="0" yWindow="0" windowWidth="21920" windowHeight="22000" tabRatio="500" firstSheet="2" activeTab="4"/>
  </bookViews>
  <sheets>
    <sheet name="Rate Vmax Calc" sheetId="1" r:id="rId1"/>
    <sheet name="Vmax calc B4 convert" sheetId="2" r:id="rId2"/>
    <sheet name="8 Min OD" sheetId="3" r:id="rId3"/>
    <sheet name="8min OD Calc B4 Convert" sheetId="4" r:id="rId4"/>
    <sheet name="Vmax +H only WH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5" i="5" l="1"/>
  <c r="N150" i="5"/>
  <c r="N145" i="5"/>
  <c r="N140" i="5"/>
  <c r="N135" i="5"/>
  <c r="G158" i="5"/>
  <c r="I158" i="5"/>
  <c r="J158" i="5"/>
  <c r="K158" i="5"/>
  <c r="L158" i="5"/>
  <c r="M158" i="5"/>
  <c r="G157" i="5"/>
  <c r="I157" i="5"/>
  <c r="J157" i="5"/>
  <c r="K157" i="5"/>
  <c r="L157" i="5"/>
  <c r="M157" i="5"/>
  <c r="Q157" i="5"/>
  <c r="G156" i="5"/>
  <c r="I156" i="5"/>
  <c r="J156" i="5"/>
  <c r="K156" i="5"/>
  <c r="L156" i="5"/>
  <c r="M156" i="5"/>
  <c r="G155" i="5"/>
  <c r="I155" i="5"/>
  <c r="J155" i="5"/>
  <c r="K155" i="5"/>
  <c r="L155" i="5"/>
  <c r="M155" i="5"/>
  <c r="Q155" i="5"/>
  <c r="G153" i="5"/>
  <c r="I153" i="5"/>
  <c r="J153" i="5"/>
  <c r="K153" i="5"/>
  <c r="L153" i="5"/>
  <c r="M153" i="5"/>
  <c r="G152" i="5"/>
  <c r="I152" i="5"/>
  <c r="J152" i="5"/>
  <c r="K152" i="5"/>
  <c r="L152" i="5"/>
  <c r="M152" i="5"/>
  <c r="Q152" i="5"/>
  <c r="G151" i="5"/>
  <c r="I151" i="5"/>
  <c r="J151" i="5"/>
  <c r="K151" i="5"/>
  <c r="L151" i="5"/>
  <c r="M151" i="5"/>
  <c r="G150" i="5"/>
  <c r="I150" i="5"/>
  <c r="J150" i="5"/>
  <c r="K150" i="5"/>
  <c r="L150" i="5"/>
  <c r="M150" i="5"/>
  <c r="Q150" i="5"/>
  <c r="G148" i="5"/>
  <c r="I148" i="5"/>
  <c r="J148" i="5"/>
  <c r="K148" i="5"/>
  <c r="L148" i="5"/>
  <c r="M148" i="5"/>
  <c r="G147" i="5"/>
  <c r="I147" i="5"/>
  <c r="J147" i="5"/>
  <c r="K147" i="5"/>
  <c r="L147" i="5"/>
  <c r="M147" i="5"/>
  <c r="Q147" i="5"/>
  <c r="G146" i="5"/>
  <c r="I146" i="5"/>
  <c r="J146" i="5"/>
  <c r="K146" i="5"/>
  <c r="L146" i="5"/>
  <c r="M146" i="5"/>
  <c r="G145" i="5"/>
  <c r="I145" i="5"/>
  <c r="J145" i="5"/>
  <c r="K145" i="5"/>
  <c r="L145" i="5"/>
  <c r="M145" i="5"/>
  <c r="Q145" i="5"/>
  <c r="G143" i="5"/>
  <c r="I143" i="5"/>
  <c r="J143" i="5"/>
  <c r="K143" i="5"/>
  <c r="L143" i="5"/>
  <c r="M143" i="5"/>
  <c r="G142" i="5"/>
  <c r="I142" i="5"/>
  <c r="J142" i="5"/>
  <c r="K142" i="5"/>
  <c r="L142" i="5"/>
  <c r="M142" i="5"/>
  <c r="Q142" i="5"/>
  <c r="G141" i="5"/>
  <c r="I141" i="5"/>
  <c r="J141" i="5"/>
  <c r="K141" i="5"/>
  <c r="L141" i="5"/>
  <c r="M141" i="5"/>
  <c r="G140" i="5"/>
  <c r="I140" i="5"/>
  <c r="J140" i="5"/>
  <c r="K140" i="5"/>
  <c r="L140" i="5"/>
  <c r="M140" i="5"/>
  <c r="Q140" i="5"/>
  <c r="G138" i="5"/>
  <c r="I138" i="5"/>
  <c r="J138" i="5"/>
  <c r="K138" i="5"/>
  <c r="L138" i="5"/>
  <c r="M138" i="5"/>
  <c r="G137" i="5"/>
  <c r="I137" i="5"/>
  <c r="J137" i="5"/>
  <c r="K137" i="5"/>
  <c r="L137" i="5"/>
  <c r="M137" i="5"/>
  <c r="Q137" i="5"/>
  <c r="G136" i="5"/>
  <c r="I136" i="5"/>
  <c r="J136" i="5"/>
  <c r="K136" i="5"/>
  <c r="L136" i="5"/>
  <c r="M136" i="5"/>
  <c r="G135" i="5"/>
  <c r="I135" i="5"/>
  <c r="J135" i="5"/>
  <c r="K135" i="5"/>
  <c r="L135" i="5"/>
  <c r="M135" i="5"/>
  <c r="Q135" i="5"/>
  <c r="N106" i="5"/>
  <c r="N95" i="5"/>
  <c r="N78" i="5"/>
  <c r="N67" i="5"/>
  <c r="N60" i="5"/>
  <c r="N53" i="5"/>
  <c r="N46" i="5"/>
  <c r="N39" i="5"/>
  <c r="N32" i="5"/>
  <c r="N25" i="5"/>
  <c r="N18" i="5"/>
  <c r="N11" i="5"/>
  <c r="V22" i="5"/>
  <c r="V25" i="5"/>
  <c r="V21" i="5"/>
  <c r="U11" i="5"/>
  <c r="U12" i="5"/>
  <c r="U24" i="5"/>
  <c r="U10" i="5"/>
  <c r="T14" i="5"/>
  <c r="T16" i="5"/>
  <c r="T19" i="5"/>
  <c r="T13" i="5"/>
  <c r="S9" i="5"/>
  <c r="S10" i="5"/>
  <c r="S12" i="5"/>
  <c r="S19" i="5"/>
  <c r="S21" i="5"/>
  <c r="S8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6" i="5"/>
  <c r="E6" i="5"/>
  <c r="E131" i="5"/>
  <c r="G131" i="5"/>
  <c r="H131" i="5"/>
  <c r="I131" i="5"/>
  <c r="J131" i="5"/>
  <c r="K131" i="5"/>
  <c r="E130" i="5"/>
  <c r="G130" i="5"/>
  <c r="H130" i="5"/>
  <c r="I130" i="5"/>
  <c r="J130" i="5"/>
  <c r="K130" i="5"/>
  <c r="E129" i="5"/>
  <c r="G129" i="5"/>
  <c r="H129" i="5"/>
  <c r="I129" i="5"/>
  <c r="J129" i="5"/>
  <c r="K129" i="5"/>
  <c r="E128" i="5"/>
  <c r="G128" i="5"/>
  <c r="H128" i="5"/>
  <c r="I128" i="5"/>
  <c r="J128" i="5"/>
  <c r="K128" i="5"/>
  <c r="E127" i="5"/>
  <c r="G127" i="5"/>
  <c r="H127" i="5"/>
  <c r="I127" i="5"/>
  <c r="J127" i="5"/>
  <c r="K127" i="5"/>
  <c r="E126" i="5"/>
  <c r="G126" i="5"/>
  <c r="H126" i="5"/>
  <c r="I126" i="5"/>
  <c r="J126" i="5"/>
  <c r="K126" i="5"/>
  <c r="G125" i="5"/>
  <c r="H125" i="5"/>
  <c r="I125" i="5"/>
  <c r="J125" i="5"/>
  <c r="K125" i="5"/>
  <c r="E124" i="5"/>
  <c r="G124" i="5"/>
  <c r="H124" i="5"/>
  <c r="I124" i="5"/>
  <c r="J124" i="5"/>
  <c r="K124" i="5"/>
  <c r="E123" i="5"/>
  <c r="G123" i="5"/>
  <c r="H123" i="5"/>
  <c r="I123" i="5"/>
  <c r="J123" i="5"/>
  <c r="K123" i="5"/>
  <c r="E122" i="5"/>
  <c r="G122" i="5"/>
  <c r="H122" i="5"/>
  <c r="I122" i="5"/>
  <c r="J122" i="5"/>
  <c r="K122" i="5"/>
  <c r="E121" i="5"/>
  <c r="G121" i="5"/>
  <c r="H121" i="5"/>
  <c r="I121" i="5"/>
  <c r="J121" i="5"/>
  <c r="K121" i="5"/>
  <c r="G120" i="5"/>
  <c r="H120" i="5"/>
  <c r="I120" i="5"/>
  <c r="J120" i="5"/>
  <c r="K120" i="5"/>
  <c r="E119" i="5"/>
  <c r="G119" i="5"/>
  <c r="H119" i="5"/>
  <c r="I119" i="5"/>
  <c r="J119" i="5"/>
  <c r="K119" i="5"/>
  <c r="E118" i="5"/>
  <c r="G118" i="5"/>
  <c r="H118" i="5"/>
  <c r="I118" i="5"/>
  <c r="J118" i="5"/>
  <c r="K118" i="5"/>
  <c r="E117" i="5"/>
  <c r="G117" i="5"/>
  <c r="H117" i="5"/>
  <c r="I117" i="5"/>
  <c r="J117" i="5"/>
  <c r="K117" i="5"/>
  <c r="E116" i="5"/>
  <c r="G116" i="5"/>
  <c r="H116" i="5"/>
  <c r="I116" i="5"/>
  <c r="J116" i="5"/>
  <c r="K116" i="5"/>
  <c r="G115" i="5"/>
  <c r="H115" i="5"/>
  <c r="I115" i="5"/>
  <c r="J115" i="5"/>
  <c r="K115" i="5"/>
  <c r="E114" i="5"/>
  <c r="G114" i="5"/>
  <c r="H114" i="5"/>
  <c r="I114" i="5"/>
  <c r="J114" i="5"/>
  <c r="K114" i="5"/>
  <c r="E113" i="5"/>
  <c r="G113" i="5"/>
  <c r="H113" i="5"/>
  <c r="I113" i="5"/>
  <c r="J113" i="5"/>
  <c r="K113" i="5"/>
  <c r="E112" i="5"/>
  <c r="G112" i="5"/>
  <c r="H112" i="5"/>
  <c r="I112" i="5"/>
  <c r="J112" i="5"/>
  <c r="K112" i="5"/>
  <c r="E111" i="5"/>
  <c r="G111" i="5"/>
  <c r="H111" i="5"/>
  <c r="I111" i="5"/>
  <c r="J111" i="5"/>
  <c r="K111" i="5"/>
  <c r="G110" i="5"/>
  <c r="H110" i="5"/>
  <c r="I110" i="5"/>
  <c r="J110" i="5"/>
  <c r="K110" i="5"/>
  <c r="E109" i="5"/>
  <c r="G109" i="5"/>
  <c r="H109" i="5"/>
  <c r="I109" i="5"/>
  <c r="J109" i="5"/>
  <c r="K109" i="5"/>
  <c r="E108" i="5"/>
  <c r="G108" i="5"/>
  <c r="H108" i="5"/>
  <c r="I108" i="5"/>
  <c r="J108" i="5"/>
  <c r="K108" i="5"/>
  <c r="E107" i="5"/>
  <c r="G107" i="5"/>
  <c r="H107" i="5"/>
  <c r="I107" i="5"/>
  <c r="J107" i="5"/>
  <c r="K107" i="5"/>
  <c r="E106" i="5"/>
  <c r="G106" i="5"/>
  <c r="H106" i="5"/>
  <c r="I106" i="5"/>
  <c r="J106" i="5"/>
  <c r="K106" i="5"/>
  <c r="G105" i="5"/>
  <c r="H105" i="5"/>
  <c r="I105" i="5"/>
  <c r="J105" i="5"/>
  <c r="K105" i="5"/>
  <c r="G104" i="5"/>
  <c r="H104" i="5"/>
  <c r="I104" i="5"/>
  <c r="J104" i="5"/>
  <c r="K104" i="5"/>
  <c r="E103" i="5"/>
  <c r="G103" i="5"/>
  <c r="H103" i="5"/>
  <c r="I103" i="5"/>
  <c r="J103" i="5"/>
  <c r="K103" i="5"/>
  <c r="E102" i="5"/>
  <c r="G102" i="5"/>
  <c r="H102" i="5"/>
  <c r="I102" i="5"/>
  <c r="J102" i="5"/>
  <c r="K102" i="5"/>
  <c r="E101" i="5"/>
  <c r="G101" i="5"/>
  <c r="H101" i="5"/>
  <c r="I101" i="5"/>
  <c r="J101" i="5"/>
  <c r="K101" i="5"/>
  <c r="E100" i="5"/>
  <c r="G100" i="5"/>
  <c r="H100" i="5"/>
  <c r="I100" i="5"/>
  <c r="J100" i="5"/>
  <c r="K100" i="5"/>
  <c r="G99" i="5"/>
  <c r="H99" i="5"/>
  <c r="I99" i="5"/>
  <c r="J99" i="5"/>
  <c r="K99" i="5"/>
  <c r="E98" i="5"/>
  <c r="G98" i="5"/>
  <c r="H98" i="5"/>
  <c r="I98" i="5"/>
  <c r="J98" i="5"/>
  <c r="K98" i="5"/>
  <c r="E97" i="5"/>
  <c r="G97" i="5"/>
  <c r="H97" i="5"/>
  <c r="I97" i="5"/>
  <c r="J97" i="5"/>
  <c r="K97" i="5"/>
  <c r="E96" i="5"/>
  <c r="G96" i="5"/>
  <c r="H96" i="5"/>
  <c r="I96" i="5"/>
  <c r="J96" i="5"/>
  <c r="K96" i="5"/>
  <c r="E95" i="5"/>
  <c r="G95" i="5"/>
  <c r="H95" i="5"/>
  <c r="I95" i="5"/>
  <c r="J95" i="5"/>
  <c r="K95" i="5"/>
  <c r="G94" i="5"/>
  <c r="H94" i="5"/>
  <c r="I94" i="5"/>
  <c r="J94" i="5"/>
  <c r="K94" i="5"/>
  <c r="G93" i="5"/>
  <c r="H93" i="5"/>
  <c r="I93" i="5"/>
  <c r="J93" i="5"/>
  <c r="K93" i="5"/>
  <c r="E92" i="5"/>
  <c r="G92" i="5"/>
  <c r="H92" i="5"/>
  <c r="I92" i="5"/>
  <c r="J92" i="5"/>
  <c r="K92" i="5"/>
  <c r="E91" i="5"/>
  <c r="G91" i="5"/>
  <c r="H91" i="5"/>
  <c r="I91" i="5"/>
  <c r="J91" i="5"/>
  <c r="K91" i="5"/>
  <c r="E90" i="5"/>
  <c r="G90" i="5"/>
  <c r="H90" i="5"/>
  <c r="I90" i="5"/>
  <c r="J90" i="5"/>
  <c r="K90" i="5"/>
  <c r="E89" i="5"/>
  <c r="G89" i="5"/>
  <c r="H89" i="5"/>
  <c r="I89" i="5"/>
  <c r="J89" i="5"/>
  <c r="K89" i="5"/>
  <c r="G88" i="5"/>
  <c r="H88" i="5"/>
  <c r="I88" i="5"/>
  <c r="J88" i="5"/>
  <c r="K88" i="5"/>
  <c r="G87" i="5"/>
  <c r="H87" i="5"/>
  <c r="I87" i="5"/>
  <c r="J87" i="5"/>
  <c r="K87" i="5"/>
  <c r="E86" i="5"/>
  <c r="G86" i="5"/>
  <c r="H86" i="5"/>
  <c r="I86" i="5"/>
  <c r="J86" i="5"/>
  <c r="K86" i="5"/>
  <c r="E85" i="5"/>
  <c r="G85" i="5"/>
  <c r="H85" i="5"/>
  <c r="I85" i="5"/>
  <c r="J85" i="5"/>
  <c r="K85" i="5"/>
  <c r="E84" i="5"/>
  <c r="G84" i="5"/>
  <c r="H84" i="5"/>
  <c r="I84" i="5"/>
  <c r="J84" i="5"/>
  <c r="K84" i="5"/>
  <c r="E83" i="5"/>
  <c r="G83" i="5"/>
  <c r="H83" i="5"/>
  <c r="I83" i="5"/>
  <c r="J83" i="5"/>
  <c r="K83" i="5"/>
  <c r="G82" i="5"/>
  <c r="H82" i="5"/>
  <c r="I82" i="5"/>
  <c r="J82" i="5"/>
  <c r="K82" i="5"/>
  <c r="E81" i="5"/>
  <c r="G81" i="5"/>
  <c r="H81" i="5"/>
  <c r="I81" i="5"/>
  <c r="J81" i="5"/>
  <c r="K81" i="5"/>
  <c r="E80" i="5"/>
  <c r="G80" i="5"/>
  <c r="H80" i="5"/>
  <c r="I80" i="5"/>
  <c r="J80" i="5"/>
  <c r="K80" i="5"/>
  <c r="E79" i="5"/>
  <c r="G79" i="5"/>
  <c r="H79" i="5"/>
  <c r="I79" i="5"/>
  <c r="J79" i="5"/>
  <c r="K79" i="5"/>
  <c r="E78" i="5"/>
  <c r="G78" i="5"/>
  <c r="H78" i="5"/>
  <c r="I78" i="5"/>
  <c r="J78" i="5"/>
  <c r="K78" i="5"/>
  <c r="G77" i="5"/>
  <c r="H77" i="5"/>
  <c r="I77" i="5"/>
  <c r="J77" i="5"/>
  <c r="K77" i="5"/>
  <c r="G76" i="5"/>
  <c r="H76" i="5"/>
  <c r="I76" i="5"/>
  <c r="J76" i="5"/>
  <c r="K76" i="5"/>
  <c r="E75" i="5"/>
  <c r="G75" i="5"/>
  <c r="H75" i="5"/>
  <c r="I75" i="5"/>
  <c r="J75" i="5"/>
  <c r="K75" i="5"/>
  <c r="E74" i="5"/>
  <c r="G74" i="5"/>
  <c r="H74" i="5"/>
  <c r="I74" i="5"/>
  <c r="J74" i="5"/>
  <c r="K74" i="5"/>
  <c r="E73" i="5"/>
  <c r="G73" i="5"/>
  <c r="H73" i="5"/>
  <c r="I73" i="5"/>
  <c r="J73" i="5"/>
  <c r="K73" i="5"/>
  <c r="E72" i="5"/>
  <c r="G72" i="5"/>
  <c r="H72" i="5"/>
  <c r="I72" i="5"/>
  <c r="J72" i="5"/>
  <c r="K72" i="5"/>
  <c r="G71" i="5"/>
  <c r="H71" i="5"/>
  <c r="I71" i="5"/>
  <c r="J71" i="5"/>
  <c r="K71" i="5"/>
  <c r="E70" i="5"/>
  <c r="G70" i="5"/>
  <c r="H70" i="5"/>
  <c r="I70" i="5"/>
  <c r="J70" i="5"/>
  <c r="K70" i="5"/>
  <c r="E69" i="5"/>
  <c r="G69" i="5"/>
  <c r="H69" i="5"/>
  <c r="I69" i="5"/>
  <c r="J69" i="5"/>
  <c r="K69" i="5"/>
  <c r="E68" i="5"/>
  <c r="G68" i="5"/>
  <c r="H68" i="5"/>
  <c r="I68" i="5"/>
  <c r="J68" i="5"/>
  <c r="K68" i="5"/>
  <c r="E67" i="5"/>
  <c r="G67" i="5"/>
  <c r="H67" i="5"/>
  <c r="I67" i="5"/>
  <c r="J67" i="5"/>
  <c r="K67" i="5"/>
  <c r="G66" i="5"/>
  <c r="H66" i="5"/>
  <c r="I66" i="5"/>
  <c r="J66" i="5"/>
  <c r="K66" i="5"/>
  <c r="E65" i="5"/>
  <c r="G65" i="5"/>
  <c r="H65" i="5"/>
  <c r="I65" i="5"/>
  <c r="J65" i="5"/>
  <c r="K65" i="5"/>
  <c r="E64" i="5"/>
  <c r="G64" i="5"/>
  <c r="H64" i="5"/>
  <c r="I64" i="5"/>
  <c r="J64" i="5"/>
  <c r="K64" i="5"/>
  <c r="E63" i="5"/>
  <c r="G63" i="5"/>
  <c r="H63" i="5"/>
  <c r="I63" i="5"/>
  <c r="J63" i="5"/>
  <c r="K63" i="5"/>
  <c r="E62" i="5"/>
  <c r="G62" i="5"/>
  <c r="H62" i="5"/>
  <c r="I62" i="5"/>
  <c r="J62" i="5"/>
  <c r="K62" i="5"/>
  <c r="E61" i="5"/>
  <c r="G61" i="5"/>
  <c r="H61" i="5"/>
  <c r="I61" i="5"/>
  <c r="J61" i="5"/>
  <c r="K61" i="5"/>
  <c r="E60" i="5"/>
  <c r="G60" i="5"/>
  <c r="H60" i="5"/>
  <c r="I60" i="5"/>
  <c r="J60" i="5"/>
  <c r="K60" i="5"/>
  <c r="G59" i="5"/>
  <c r="H59" i="5"/>
  <c r="I59" i="5"/>
  <c r="J59" i="5"/>
  <c r="K59" i="5"/>
  <c r="E58" i="5"/>
  <c r="G58" i="5"/>
  <c r="H58" i="5"/>
  <c r="I58" i="5"/>
  <c r="J58" i="5"/>
  <c r="K58" i="5"/>
  <c r="E57" i="5"/>
  <c r="G57" i="5"/>
  <c r="H57" i="5"/>
  <c r="I57" i="5"/>
  <c r="J57" i="5"/>
  <c r="K57" i="5"/>
  <c r="E56" i="5"/>
  <c r="G56" i="5"/>
  <c r="H56" i="5"/>
  <c r="I56" i="5"/>
  <c r="J56" i="5"/>
  <c r="K56" i="5"/>
  <c r="E55" i="5"/>
  <c r="G55" i="5"/>
  <c r="H55" i="5"/>
  <c r="I55" i="5"/>
  <c r="J55" i="5"/>
  <c r="K55" i="5"/>
  <c r="E54" i="5"/>
  <c r="G54" i="5"/>
  <c r="H54" i="5"/>
  <c r="I54" i="5"/>
  <c r="J54" i="5"/>
  <c r="K54" i="5"/>
  <c r="E53" i="5"/>
  <c r="G53" i="5"/>
  <c r="H53" i="5"/>
  <c r="I53" i="5"/>
  <c r="J53" i="5"/>
  <c r="K53" i="5"/>
  <c r="G52" i="5"/>
  <c r="H52" i="5"/>
  <c r="I52" i="5"/>
  <c r="J52" i="5"/>
  <c r="K52" i="5"/>
  <c r="E51" i="5"/>
  <c r="G51" i="5"/>
  <c r="H51" i="5"/>
  <c r="I51" i="5"/>
  <c r="J51" i="5"/>
  <c r="K51" i="5"/>
  <c r="E50" i="5"/>
  <c r="G50" i="5"/>
  <c r="H50" i="5"/>
  <c r="I50" i="5"/>
  <c r="J50" i="5"/>
  <c r="K50" i="5"/>
  <c r="E49" i="5"/>
  <c r="G49" i="5"/>
  <c r="H49" i="5"/>
  <c r="I49" i="5"/>
  <c r="J49" i="5"/>
  <c r="K49" i="5"/>
  <c r="E48" i="5"/>
  <c r="G48" i="5"/>
  <c r="H48" i="5"/>
  <c r="I48" i="5"/>
  <c r="J48" i="5"/>
  <c r="K48" i="5"/>
  <c r="E47" i="5"/>
  <c r="G47" i="5"/>
  <c r="H47" i="5"/>
  <c r="I47" i="5"/>
  <c r="J47" i="5"/>
  <c r="K47" i="5"/>
  <c r="E46" i="5"/>
  <c r="G46" i="5"/>
  <c r="H46" i="5"/>
  <c r="I46" i="5"/>
  <c r="J46" i="5"/>
  <c r="K46" i="5"/>
  <c r="G45" i="5"/>
  <c r="H45" i="5"/>
  <c r="I45" i="5"/>
  <c r="J45" i="5"/>
  <c r="K45" i="5"/>
  <c r="E44" i="5"/>
  <c r="G44" i="5"/>
  <c r="H44" i="5"/>
  <c r="I44" i="5"/>
  <c r="J44" i="5"/>
  <c r="K44" i="5"/>
  <c r="E43" i="5"/>
  <c r="G43" i="5"/>
  <c r="H43" i="5"/>
  <c r="I43" i="5"/>
  <c r="J43" i="5"/>
  <c r="K43" i="5"/>
  <c r="E42" i="5"/>
  <c r="G42" i="5"/>
  <c r="H42" i="5"/>
  <c r="I42" i="5"/>
  <c r="J42" i="5"/>
  <c r="K42" i="5"/>
  <c r="E41" i="5"/>
  <c r="G41" i="5"/>
  <c r="H41" i="5"/>
  <c r="I41" i="5"/>
  <c r="J41" i="5"/>
  <c r="K41" i="5"/>
  <c r="E40" i="5"/>
  <c r="G40" i="5"/>
  <c r="H40" i="5"/>
  <c r="I40" i="5"/>
  <c r="J40" i="5"/>
  <c r="K40" i="5"/>
  <c r="E39" i="5"/>
  <c r="G39" i="5"/>
  <c r="H39" i="5"/>
  <c r="I39" i="5"/>
  <c r="J39" i="5"/>
  <c r="K39" i="5"/>
  <c r="E37" i="5"/>
  <c r="G37" i="5"/>
  <c r="H37" i="5"/>
  <c r="I37" i="5"/>
  <c r="J37" i="5"/>
  <c r="K37" i="5"/>
  <c r="E36" i="5"/>
  <c r="G36" i="5"/>
  <c r="H36" i="5"/>
  <c r="I36" i="5"/>
  <c r="J36" i="5"/>
  <c r="K36" i="5"/>
  <c r="E35" i="5"/>
  <c r="G35" i="5"/>
  <c r="H35" i="5"/>
  <c r="I35" i="5"/>
  <c r="J35" i="5"/>
  <c r="K35" i="5"/>
  <c r="E34" i="5"/>
  <c r="G34" i="5"/>
  <c r="H34" i="5"/>
  <c r="I34" i="5"/>
  <c r="J34" i="5"/>
  <c r="K34" i="5"/>
  <c r="E33" i="5"/>
  <c r="G33" i="5"/>
  <c r="H33" i="5"/>
  <c r="I33" i="5"/>
  <c r="J33" i="5"/>
  <c r="K33" i="5"/>
  <c r="E32" i="5"/>
  <c r="G32" i="5"/>
  <c r="H32" i="5"/>
  <c r="I32" i="5"/>
  <c r="J32" i="5"/>
  <c r="K32" i="5"/>
  <c r="E30" i="5"/>
  <c r="G30" i="5"/>
  <c r="H30" i="5"/>
  <c r="I30" i="5"/>
  <c r="J30" i="5"/>
  <c r="K30" i="5"/>
  <c r="E29" i="5"/>
  <c r="G29" i="5"/>
  <c r="H29" i="5"/>
  <c r="I29" i="5"/>
  <c r="J29" i="5"/>
  <c r="K29" i="5"/>
  <c r="E28" i="5"/>
  <c r="G28" i="5"/>
  <c r="H28" i="5"/>
  <c r="I28" i="5"/>
  <c r="J28" i="5"/>
  <c r="K28" i="5"/>
  <c r="E27" i="5"/>
  <c r="G27" i="5"/>
  <c r="H27" i="5"/>
  <c r="I27" i="5"/>
  <c r="J27" i="5"/>
  <c r="K27" i="5"/>
  <c r="E26" i="5"/>
  <c r="G26" i="5"/>
  <c r="H26" i="5"/>
  <c r="I26" i="5"/>
  <c r="J26" i="5"/>
  <c r="K26" i="5"/>
  <c r="E25" i="5"/>
  <c r="G25" i="5"/>
  <c r="H25" i="5"/>
  <c r="I25" i="5"/>
  <c r="J25" i="5"/>
  <c r="K25" i="5"/>
  <c r="E23" i="5"/>
  <c r="G23" i="5"/>
  <c r="H23" i="5"/>
  <c r="I23" i="5"/>
  <c r="J23" i="5"/>
  <c r="K23" i="5"/>
  <c r="E22" i="5"/>
  <c r="G22" i="5"/>
  <c r="H22" i="5"/>
  <c r="I22" i="5"/>
  <c r="J22" i="5"/>
  <c r="K22" i="5"/>
  <c r="E21" i="5"/>
  <c r="G21" i="5"/>
  <c r="H21" i="5"/>
  <c r="I21" i="5"/>
  <c r="J21" i="5"/>
  <c r="K21" i="5"/>
  <c r="E20" i="5"/>
  <c r="G20" i="5"/>
  <c r="H20" i="5"/>
  <c r="I20" i="5"/>
  <c r="J20" i="5"/>
  <c r="K20" i="5"/>
  <c r="E19" i="5"/>
  <c r="G19" i="5"/>
  <c r="H19" i="5"/>
  <c r="I19" i="5"/>
  <c r="J19" i="5"/>
  <c r="K19" i="5"/>
  <c r="E18" i="5"/>
  <c r="G18" i="5"/>
  <c r="H18" i="5"/>
  <c r="I18" i="5"/>
  <c r="J18" i="5"/>
  <c r="K18" i="5"/>
  <c r="J16" i="5"/>
  <c r="E16" i="5"/>
  <c r="G16" i="5"/>
  <c r="H16" i="5"/>
  <c r="E15" i="5"/>
  <c r="G15" i="5"/>
  <c r="H15" i="5"/>
  <c r="E14" i="5"/>
  <c r="G14" i="5"/>
  <c r="H14" i="5"/>
  <c r="E13" i="5"/>
  <c r="G13" i="5"/>
  <c r="H13" i="5"/>
  <c r="E12" i="5"/>
  <c r="G12" i="5"/>
  <c r="H12" i="5"/>
  <c r="E11" i="5"/>
  <c r="G11" i="5"/>
  <c r="H11" i="5"/>
  <c r="E9" i="5"/>
  <c r="G9" i="5"/>
  <c r="H9" i="5"/>
  <c r="E8" i="5"/>
  <c r="G8" i="5"/>
  <c r="H8" i="5"/>
  <c r="E7" i="5"/>
  <c r="G7" i="5"/>
  <c r="H7" i="5"/>
  <c r="G6" i="5"/>
  <c r="H6" i="5"/>
  <c r="I6" i="5"/>
  <c r="J6" i="5"/>
  <c r="K6" i="5"/>
  <c r="E27" i="3"/>
  <c r="E22" i="3"/>
  <c r="M30" i="3"/>
  <c r="L29" i="3"/>
  <c r="M28" i="3"/>
  <c r="L27" i="3"/>
  <c r="M23" i="3"/>
  <c r="G22" i="3"/>
  <c r="H22" i="3"/>
  <c r="I22" i="3"/>
  <c r="J22" i="3"/>
  <c r="K22" i="3"/>
  <c r="L22" i="3"/>
  <c r="E28" i="3"/>
  <c r="E29" i="3"/>
  <c r="E30" i="3"/>
  <c r="E31" i="3"/>
  <c r="E32" i="3"/>
  <c r="E23" i="3"/>
  <c r="E24" i="3"/>
  <c r="E25" i="3"/>
  <c r="E145" i="3"/>
  <c r="G145" i="3"/>
  <c r="H145" i="3"/>
  <c r="I145" i="3"/>
  <c r="J145" i="3"/>
  <c r="K145" i="3"/>
  <c r="E147" i="3"/>
  <c r="G147" i="3"/>
  <c r="H147" i="3"/>
  <c r="I147" i="3"/>
  <c r="J147" i="3"/>
  <c r="K147" i="3"/>
  <c r="M145" i="3"/>
  <c r="E144" i="3"/>
  <c r="G144" i="3"/>
  <c r="H144" i="3"/>
  <c r="I144" i="3"/>
  <c r="J144" i="3"/>
  <c r="K144" i="3"/>
  <c r="E146" i="3"/>
  <c r="G146" i="3"/>
  <c r="H146" i="3"/>
  <c r="I146" i="3"/>
  <c r="J146" i="3"/>
  <c r="K146" i="3"/>
  <c r="L144" i="3"/>
  <c r="E143" i="3"/>
  <c r="G143" i="3"/>
  <c r="H143" i="3"/>
  <c r="I143" i="3"/>
  <c r="J143" i="3"/>
  <c r="K143" i="3"/>
  <c r="M143" i="3"/>
  <c r="E142" i="3"/>
  <c r="G142" i="3"/>
  <c r="H142" i="3"/>
  <c r="I142" i="3"/>
  <c r="J142" i="3"/>
  <c r="K142" i="3"/>
  <c r="L142" i="3"/>
  <c r="E138" i="3"/>
  <c r="G138" i="3"/>
  <c r="H138" i="3"/>
  <c r="I138" i="3"/>
  <c r="J138" i="3"/>
  <c r="K138" i="3"/>
  <c r="E140" i="3"/>
  <c r="G140" i="3"/>
  <c r="H140" i="3"/>
  <c r="I140" i="3"/>
  <c r="J140" i="3"/>
  <c r="K140" i="3"/>
  <c r="M138" i="3"/>
  <c r="E137" i="3"/>
  <c r="G137" i="3"/>
  <c r="H137" i="3"/>
  <c r="I137" i="3"/>
  <c r="J137" i="3"/>
  <c r="K137" i="3"/>
  <c r="E139" i="3"/>
  <c r="G139" i="3"/>
  <c r="H139" i="3"/>
  <c r="I139" i="3"/>
  <c r="J139" i="3"/>
  <c r="K139" i="3"/>
  <c r="L137" i="3"/>
  <c r="E128" i="3"/>
  <c r="G128" i="3"/>
  <c r="H128" i="3"/>
  <c r="I128" i="3"/>
  <c r="J128" i="3"/>
  <c r="K128" i="3"/>
  <c r="E130" i="3"/>
  <c r="G130" i="3"/>
  <c r="H130" i="3"/>
  <c r="I130" i="3"/>
  <c r="J130" i="3"/>
  <c r="K130" i="3"/>
  <c r="M128" i="3"/>
  <c r="E127" i="3"/>
  <c r="G127" i="3"/>
  <c r="H127" i="3"/>
  <c r="I127" i="3"/>
  <c r="J127" i="3"/>
  <c r="K127" i="3"/>
  <c r="E129" i="3"/>
  <c r="G129" i="3"/>
  <c r="H129" i="3"/>
  <c r="I129" i="3"/>
  <c r="J129" i="3"/>
  <c r="K129" i="3"/>
  <c r="L127" i="3"/>
  <c r="G126" i="3"/>
  <c r="H126" i="3"/>
  <c r="I126" i="3"/>
  <c r="J126" i="3"/>
  <c r="K126" i="3"/>
  <c r="E133" i="3"/>
  <c r="G133" i="3"/>
  <c r="H133" i="3"/>
  <c r="I133" i="3"/>
  <c r="J133" i="3"/>
  <c r="K133" i="3"/>
  <c r="E135" i="3"/>
  <c r="G135" i="3"/>
  <c r="H135" i="3"/>
  <c r="I135" i="3"/>
  <c r="J135" i="3"/>
  <c r="K135" i="3"/>
  <c r="M133" i="3"/>
  <c r="E132" i="3"/>
  <c r="G132" i="3"/>
  <c r="H132" i="3"/>
  <c r="I132" i="3"/>
  <c r="J132" i="3"/>
  <c r="K132" i="3"/>
  <c r="E134" i="3"/>
  <c r="G134" i="3"/>
  <c r="H134" i="3"/>
  <c r="I134" i="3"/>
  <c r="J134" i="3"/>
  <c r="K134" i="3"/>
  <c r="L132" i="3"/>
  <c r="E123" i="3"/>
  <c r="G123" i="3"/>
  <c r="H123" i="3"/>
  <c r="I123" i="3"/>
  <c r="J123" i="3"/>
  <c r="K123" i="3"/>
  <c r="E125" i="3"/>
  <c r="G125" i="3"/>
  <c r="H125" i="3"/>
  <c r="I125" i="3"/>
  <c r="J125" i="3"/>
  <c r="K125" i="3"/>
  <c r="M123" i="3"/>
  <c r="E122" i="3"/>
  <c r="G122" i="3"/>
  <c r="H122" i="3"/>
  <c r="I122" i="3"/>
  <c r="J122" i="3"/>
  <c r="K122" i="3"/>
  <c r="E124" i="3"/>
  <c r="G124" i="3"/>
  <c r="H124" i="3"/>
  <c r="I124" i="3"/>
  <c r="J124" i="3"/>
  <c r="K124" i="3"/>
  <c r="L122" i="3"/>
  <c r="E117" i="3"/>
  <c r="G117" i="3"/>
  <c r="H117" i="3"/>
  <c r="I117" i="3"/>
  <c r="J117" i="3"/>
  <c r="K117" i="3"/>
  <c r="E119" i="3"/>
  <c r="G119" i="3"/>
  <c r="H119" i="3"/>
  <c r="I119" i="3"/>
  <c r="J119" i="3"/>
  <c r="K119" i="3"/>
  <c r="M117" i="3"/>
  <c r="E116" i="3"/>
  <c r="G116" i="3"/>
  <c r="H116" i="3"/>
  <c r="I116" i="3"/>
  <c r="J116" i="3"/>
  <c r="K116" i="3"/>
  <c r="E118" i="3"/>
  <c r="G118" i="3"/>
  <c r="H118" i="3"/>
  <c r="I118" i="3"/>
  <c r="J118" i="3"/>
  <c r="K118" i="3"/>
  <c r="L116" i="3"/>
  <c r="E112" i="3"/>
  <c r="G112" i="3"/>
  <c r="H112" i="3"/>
  <c r="I112" i="3"/>
  <c r="J112" i="3"/>
  <c r="K112" i="3"/>
  <c r="E114" i="3"/>
  <c r="G114" i="3"/>
  <c r="H114" i="3"/>
  <c r="I114" i="3"/>
  <c r="J114" i="3"/>
  <c r="K114" i="3"/>
  <c r="M112" i="3"/>
  <c r="E111" i="3"/>
  <c r="G111" i="3"/>
  <c r="H111" i="3"/>
  <c r="I111" i="3"/>
  <c r="J111" i="3"/>
  <c r="K111" i="3"/>
  <c r="E113" i="3"/>
  <c r="G113" i="3"/>
  <c r="H113" i="3"/>
  <c r="I113" i="3"/>
  <c r="J113" i="3"/>
  <c r="K113" i="3"/>
  <c r="L111" i="3"/>
  <c r="E106" i="3"/>
  <c r="G106" i="3"/>
  <c r="H106" i="3"/>
  <c r="I106" i="3"/>
  <c r="J106" i="3"/>
  <c r="K106" i="3"/>
  <c r="E108" i="3"/>
  <c r="G108" i="3"/>
  <c r="H108" i="3"/>
  <c r="I108" i="3"/>
  <c r="J108" i="3"/>
  <c r="K108" i="3"/>
  <c r="M106" i="3"/>
  <c r="E105" i="3"/>
  <c r="G105" i="3"/>
  <c r="H105" i="3"/>
  <c r="I105" i="3"/>
  <c r="J105" i="3"/>
  <c r="K105" i="3"/>
  <c r="E107" i="3"/>
  <c r="G107" i="3"/>
  <c r="H107" i="3"/>
  <c r="I107" i="3"/>
  <c r="J107" i="3"/>
  <c r="K107" i="3"/>
  <c r="L105" i="3"/>
  <c r="E100" i="3"/>
  <c r="G100" i="3"/>
  <c r="H100" i="3"/>
  <c r="I100" i="3"/>
  <c r="J100" i="3"/>
  <c r="K100" i="3"/>
  <c r="E102" i="3"/>
  <c r="G102" i="3"/>
  <c r="H102" i="3"/>
  <c r="I102" i="3"/>
  <c r="J102" i="3"/>
  <c r="K102" i="3"/>
  <c r="M100" i="3"/>
  <c r="E99" i="3"/>
  <c r="G99" i="3"/>
  <c r="H99" i="3"/>
  <c r="I99" i="3"/>
  <c r="J99" i="3"/>
  <c r="K99" i="3"/>
  <c r="E101" i="3"/>
  <c r="G101" i="3"/>
  <c r="H101" i="3"/>
  <c r="I101" i="3"/>
  <c r="J101" i="3"/>
  <c r="K101" i="3"/>
  <c r="L99" i="3"/>
  <c r="E95" i="3"/>
  <c r="G95" i="3"/>
  <c r="H95" i="3"/>
  <c r="I95" i="3"/>
  <c r="J95" i="3"/>
  <c r="K95" i="3"/>
  <c r="E97" i="3"/>
  <c r="G97" i="3"/>
  <c r="H97" i="3"/>
  <c r="I97" i="3"/>
  <c r="J97" i="3"/>
  <c r="K97" i="3"/>
  <c r="M95" i="3"/>
  <c r="E94" i="3"/>
  <c r="G94" i="3"/>
  <c r="H94" i="3"/>
  <c r="I94" i="3"/>
  <c r="J94" i="3"/>
  <c r="K94" i="3"/>
  <c r="E96" i="3"/>
  <c r="G96" i="3"/>
  <c r="H96" i="3"/>
  <c r="I96" i="3"/>
  <c r="J96" i="3"/>
  <c r="K96" i="3"/>
  <c r="L94" i="3"/>
  <c r="E89" i="3"/>
  <c r="G89" i="3"/>
  <c r="H89" i="3"/>
  <c r="I89" i="3"/>
  <c r="J89" i="3"/>
  <c r="K89" i="3"/>
  <c r="E91" i="3"/>
  <c r="G91" i="3"/>
  <c r="H91" i="3"/>
  <c r="I91" i="3"/>
  <c r="J91" i="3"/>
  <c r="K91" i="3"/>
  <c r="M89" i="3"/>
  <c r="E88" i="3"/>
  <c r="G88" i="3"/>
  <c r="H88" i="3"/>
  <c r="I88" i="3"/>
  <c r="J88" i="3"/>
  <c r="K88" i="3"/>
  <c r="E90" i="3"/>
  <c r="G90" i="3"/>
  <c r="H90" i="3"/>
  <c r="I90" i="3"/>
  <c r="J90" i="3"/>
  <c r="K90" i="3"/>
  <c r="L88" i="3"/>
  <c r="E84" i="3"/>
  <c r="G84" i="3"/>
  <c r="H84" i="3"/>
  <c r="I84" i="3"/>
  <c r="J84" i="3"/>
  <c r="K84" i="3"/>
  <c r="E86" i="3"/>
  <c r="G86" i="3"/>
  <c r="H86" i="3"/>
  <c r="I86" i="3"/>
  <c r="J86" i="3"/>
  <c r="K86" i="3"/>
  <c r="M84" i="3"/>
  <c r="E83" i="3"/>
  <c r="G83" i="3"/>
  <c r="H83" i="3"/>
  <c r="I83" i="3"/>
  <c r="J83" i="3"/>
  <c r="K83" i="3"/>
  <c r="E85" i="3"/>
  <c r="G85" i="3"/>
  <c r="H85" i="3"/>
  <c r="I85" i="3"/>
  <c r="J85" i="3"/>
  <c r="K85" i="3"/>
  <c r="L83" i="3"/>
  <c r="E79" i="3"/>
  <c r="G79" i="3"/>
  <c r="H79" i="3"/>
  <c r="I79" i="3"/>
  <c r="J79" i="3"/>
  <c r="K79" i="3"/>
  <c r="E81" i="3"/>
  <c r="G81" i="3"/>
  <c r="H81" i="3"/>
  <c r="I81" i="3"/>
  <c r="J81" i="3"/>
  <c r="K81" i="3"/>
  <c r="M79" i="3"/>
  <c r="E77" i="3"/>
  <c r="G77" i="3"/>
  <c r="H77" i="3"/>
  <c r="I77" i="3"/>
  <c r="J77" i="3"/>
  <c r="K77" i="3"/>
  <c r="M77" i="3"/>
  <c r="E78" i="3"/>
  <c r="E80" i="3"/>
  <c r="E76" i="3"/>
  <c r="G78" i="3"/>
  <c r="H78" i="3"/>
  <c r="I78" i="3"/>
  <c r="J78" i="3"/>
  <c r="K78" i="3"/>
  <c r="G80" i="3"/>
  <c r="H80" i="3"/>
  <c r="I80" i="3"/>
  <c r="J80" i="3"/>
  <c r="K80" i="3"/>
  <c r="L78" i="3"/>
  <c r="G76" i="3"/>
  <c r="H76" i="3"/>
  <c r="I76" i="3"/>
  <c r="J76" i="3"/>
  <c r="K76" i="3"/>
  <c r="L76" i="3"/>
  <c r="E72" i="3"/>
  <c r="G72" i="3"/>
  <c r="H72" i="3"/>
  <c r="I72" i="3"/>
  <c r="J72" i="3"/>
  <c r="K72" i="3"/>
  <c r="E74" i="3"/>
  <c r="G74" i="3"/>
  <c r="H74" i="3"/>
  <c r="I74" i="3"/>
  <c r="J74" i="3"/>
  <c r="K74" i="3"/>
  <c r="M72" i="3"/>
  <c r="E70" i="3"/>
  <c r="G70" i="3"/>
  <c r="H70" i="3"/>
  <c r="I70" i="3"/>
  <c r="J70" i="3"/>
  <c r="K70" i="3"/>
  <c r="M70" i="3"/>
  <c r="E71" i="3"/>
  <c r="G71" i="3"/>
  <c r="H71" i="3"/>
  <c r="I71" i="3"/>
  <c r="J71" i="3"/>
  <c r="K71" i="3"/>
  <c r="E73" i="3"/>
  <c r="G73" i="3"/>
  <c r="H73" i="3"/>
  <c r="I73" i="3"/>
  <c r="J73" i="3"/>
  <c r="K73" i="3"/>
  <c r="L71" i="3"/>
  <c r="E69" i="3"/>
  <c r="G69" i="3"/>
  <c r="H69" i="3"/>
  <c r="I69" i="3"/>
  <c r="J69" i="3"/>
  <c r="K69" i="3"/>
  <c r="L69" i="3"/>
  <c r="E65" i="3"/>
  <c r="G65" i="3"/>
  <c r="H65" i="3"/>
  <c r="I65" i="3"/>
  <c r="J65" i="3"/>
  <c r="K65" i="3"/>
  <c r="E67" i="3"/>
  <c r="G67" i="3"/>
  <c r="H67" i="3"/>
  <c r="I67" i="3"/>
  <c r="J67" i="3"/>
  <c r="K67" i="3"/>
  <c r="M65" i="3"/>
  <c r="E63" i="3"/>
  <c r="G63" i="3"/>
  <c r="H63" i="3"/>
  <c r="I63" i="3"/>
  <c r="J63" i="3"/>
  <c r="K63" i="3"/>
  <c r="M63" i="3"/>
  <c r="E64" i="3"/>
  <c r="G64" i="3"/>
  <c r="H64" i="3"/>
  <c r="I64" i="3"/>
  <c r="J64" i="3"/>
  <c r="K64" i="3"/>
  <c r="E66" i="3"/>
  <c r="G66" i="3"/>
  <c r="H66" i="3"/>
  <c r="I66" i="3"/>
  <c r="J66" i="3"/>
  <c r="K66" i="3"/>
  <c r="L64" i="3"/>
  <c r="E62" i="3"/>
  <c r="G62" i="3"/>
  <c r="H62" i="3"/>
  <c r="I62" i="3"/>
  <c r="J62" i="3"/>
  <c r="K62" i="3"/>
  <c r="L62" i="3"/>
  <c r="E58" i="3"/>
  <c r="G58" i="3"/>
  <c r="H58" i="3"/>
  <c r="I58" i="3"/>
  <c r="J58" i="3"/>
  <c r="K58" i="3"/>
  <c r="E60" i="3"/>
  <c r="G60" i="3"/>
  <c r="H60" i="3"/>
  <c r="I60" i="3"/>
  <c r="J60" i="3"/>
  <c r="K60" i="3"/>
  <c r="M58" i="3"/>
  <c r="E56" i="3"/>
  <c r="G56" i="3"/>
  <c r="H56" i="3"/>
  <c r="I56" i="3"/>
  <c r="J56" i="3"/>
  <c r="K56" i="3"/>
  <c r="M56" i="3"/>
  <c r="E51" i="3"/>
  <c r="G51" i="3"/>
  <c r="H51" i="3"/>
  <c r="I51" i="3"/>
  <c r="J51" i="3"/>
  <c r="K51" i="3"/>
  <c r="E53" i="3"/>
  <c r="G53" i="3"/>
  <c r="H53" i="3"/>
  <c r="I53" i="3"/>
  <c r="J53" i="3"/>
  <c r="K53" i="3"/>
  <c r="M51" i="3"/>
  <c r="E49" i="3"/>
  <c r="G49" i="3"/>
  <c r="H49" i="3"/>
  <c r="I49" i="3"/>
  <c r="J49" i="3"/>
  <c r="K49" i="3"/>
  <c r="M49" i="3"/>
  <c r="E42" i="3"/>
  <c r="G42" i="3"/>
  <c r="H42" i="3"/>
  <c r="I42" i="3"/>
  <c r="J42" i="3"/>
  <c r="K42" i="3"/>
  <c r="E46" i="3"/>
  <c r="G46" i="3"/>
  <c r="H46" i="3"/>
  <c r="I46" i="3"/>
  <c r="J46" i="3"/>
  <c r="K46" i="3"/>
  <c r="M42" i="3"/>
  <c r="E44" i="3"/>
  <c r="G44" i="3"/>
  <c r="H44" i="3"/>
  <c r="I44" i="3"/>
  <c r="J44" i="3"/>
  <c r="K44" i="3"/>
  <c r="M44" i="3"/>
  <c r="E57" i="3"/>
  <c r="G57" i="3"/>
  <c r="H57" i="3"/>
  <c r="I57" i="3"/>
  <c r="J57" i="3"/>
  <c r="K57" i="3"/>
  <c r="E59" i="3"/>
  <c r="G59" i="3"/>
  <c r="H59" i="3"/>
  <c r="I59" i="3"/>
  <c r="J59" i="3"/>
  <c r="K59" i="3"/>
  <c r="L57" i="3"/>
  <c r="E55" i="3"/>
  <c r="G55" i="3"/>
  <c r="H55" i="3"/>
  <c r="I55" i="3"/>
  <c r="J55" i="3"/>
  <c r="K55" i="3"/>
  <c r="L55" i="3"/>
  <c r="E50" i="3"/>
  <c r="G50" i="3"/>
  <c r="H50" i="3"/>
  <c r="I50" i="3"/>
  <c r="J50" i="3"/>
  <c r="K50" i="3"/>
  <c r="E52" i="3"/>
  <c r="G52" i="3"/>
  <c r="H52" i="3"/>
  <c r="I52" i="3"/>
  <c r="J52" i="3"/>
  <c r="K52" i="3"/>
  <c r="L50" i="3"/>
  <c r="E48" i="3"/>
  <c r="G48" i="3"/>
  <c r="H48" i="3"/>
  <c r="I48" i="3"/>
  <c r="J48" i="3"/>
  <c r="K48" i="3"/>
  <c r="L48" i="3"/>
  <c r="E43" i="3"/>
  <c r="G43" i="3"/>
  <c r="H43" i="3"/>
  <c r="I43" i="3"/>
  <c r="J43" i="3"/>
  <c r="K43" i="3"/>
  <c r="E45" i="3"/>
  <c r="G45" i="3"/>
  <c r="H45" i="3"/>
  <c r="I45" i="3"/>
  <c r="J45" i="3"/>
  <c r="K45" i="3"/>
  <c r="L43" i="3"/>
  <c r="E41" i="3"/>
  <c r="G41" i="3"/>
  <c r="H41" i="3"/>
  <c r="I41" i="3"/>
  <c r="J41" i="3"/>
  <c r="K41" i="3"/>
  <c r="L41" i="3"/>
  <c r="E37" i="3"/>
  <c r="G37" i="3"/>
  <c r="H37" i="3"/>
  <c r="I37" i="3"/>
  <c r="J37" i="3"/>
  <c r="K37" i="3"/>
  <c r="E39" i="3"/>
  <c r="G39" i="3"/>
  <c r="H39" i="3"/>
  <c r="I39" i="3"/>
  <c r="J39" i="3"/>
  <c r="K39" i="3"/>
  <c r="M37" i="3"/>
  <c r="E35" i="3"/>
  <c r="G35" i="3"/>
  <c r="H35" i="3"/>
  <c r="I35" i="3"/>
  <c r="J35" i="3"/>
  <c r="K35" i="3"/>
  <c r="M35" i="3"/>
  <c r="E36" i="3"/>
  <c r="G36" i="3"/>
  <c r="H36" i="3"/>
  <c r="I36" i="3"/>
  <c r="J36" i="3"/>
  <c r="K36" i="3"/>
  <c r="E38" i="3"/>
  <c r="G38" i="3"/>
  <c r="H38" i="3"/>
  <c r="I38" i="3"/>
  <c r="J38" i="3"/>
  <c r="K38" i="3"/>
  <c r="L36" i="3"/>
  <c r="E34" i="3"/>
  <c r="G34" i="3"/>
  <c r="H34" i="3"/>
  <c r="I34" i="3"/>
  <c r="J34" i="3"/>
  <c r="K34" i="3"/>
  <c r="L34" i="3"/>
  <c r="G141" i="3"/>
  <c r="H141" i="3"/>
  <c r="I141" i="3"/>
  <c r="J141" i="3"/>
  <c r="K141" i="3"/>
  <c r="G136" i="3"/>
  <c r="H136" i="3"/>
  <c r="I136" i="3"/>
  <c r="J136" i="3"/>
  <c r="K136" i="3"/>
  <c r="G121" i="3"/>
  <c r="H121" i="3"/>
  <c r="I121" i="3"/>
  <c r="J121" i="3"/>
  <c r="K121" i="3"/>
  <c r="G120" i="3"/>
  <c r="H120" i="3"/>
  <c r="I120" i="3"/>
  <c r="J120" i="3"/>
  <c r="K120" i="3"/>
  <c r="G115" i="3"/>
  <c r="H115" i="3"/>
  <c r="I115" i="3"/>
  <c r="J115" i="3"/>
  <c r="K115" i="3"/>
  <c r="G110" i="3"/>
  <c r="H110" i="3"/>
  <c r="I110" i="3"/>
  <c r="J110" i="3"/>
  <c r="K110" i="3"/>
  <c r="G109" i="3"/>
  <c r="H109" i="3"/>
  <c r="I109" i="3"/>
  <c r="J109" i="3"/>
  <c r="K109" i="3"/>
  <c r="G93" i="3"/>
  <c r="H93" i="3"/>
  <c r="I93" i="3"/>
  <c r="J93" i="3"/>
  <c r="K93" i="3"/>
  <c r="G92" i="3"/>
  <c r="H92" i="3"/>
  <c r="I92" i="3"/>
  <c r="J92" i="3"/>
  <c r="K92" i="3"/>
  <c r="G87" i="3"/>
  <c r="H87" i="3"/>
  <c r="I87" i="3"/>
  <c r="J87" i="3"/>
  <c r="K87" i="3"/>
  <c r="G82" i="3"/>
  <c r="H82" i="3"/>
  <c r="I82" i="3"/>
  <c r="J82" i="3"/>
  <c r="K82" i="3"/>
  <c r="G75" i="3"/>
  <c r="H75" i="3"/>
  <c r="I75" i="3"/>
  <c r="J75" i="3"/>
  <c r="K75" i="3"/>
  <c r="G68" i="3"/>
  <c r="H68" i="3"/>
  <c r="I68" i="3"/>
  <c r="J68" i="3"/>
  <c r="K68" i="3"/>
  <c r="G61" i="3"/>
  <c r="H61" i="3"/>
  <c r="I61" i="3"/>
  <c r="J61" i="3"/>
  <c r="K61" i="3"/>
  <c r="J32" i="3"/>
  <c r="G32" i="3"/>
  <c r="H32" i="3"/>
  <c r="G31" i="3"/>
  <c r="H31" i="3"/>
  <c r="G30" i="3"/>
  <c r="H30" i="3"/>
  <c r="G29" i="3"/>
  <c r="H29" i="3"/>
  <c r="G28" i="3"/>
  <c r="H28" i="3"/>
  <c r="G27" i="3"/>
  <c r="H27" i="3"/>
  <c r="G25" i="3"/>
  <c r="H25" i="3"/>
  <c r="G24" i="3"/>
  <c r="H24" i="3"/>
  <c r="G23" i="3"/>
  <c r="H23" i="3"/>
  <c r="E23" i="4"/>
  <c r="D24" i="4"/>
  <c r="E24" i="4"/>
  <c r="E25" i="4"/>
  <c r="E26" i="4"/>
  <c r="E27" i="4"/>
  <c r="D22" i="4"/>
  <c r="E22" i="4"/>
  <c r="E18" i="4"/>
  <c r="E19" i="4"/>
  <c r="E20" i="4"/>
  <c r="D17" i="4"/>
  <c r="E17" i="4"/>
  <c r="D139" i="4"/>
  <c r="E139" i="4"/>
  <c r="D137" i="4"/>
  <c r="E137" i="4"/>
  <c r="D132" i="4"/>
  <c r="E132" i="4"/>
  <c r="D127" i="4"/>
  <c r="E127" i="4"/>
  <c r="D122" i="4"/>
  <c r="E122" i="4"/>
  <c r="D117" i="4"/>
  <c r="E117" i="4"/>
  <c r="D111" i="4"/>
  <c r="E111" i="4"/>
  <c r="D106" i="4"/>
  <c r="E106" i="4"/>
  <c r="D100" i="4"/>
  <c r="E100" i="4"/>
  <c r="D94" i="4"/>
  <c r="E94" i="4"/>
  <c r="D89" i="4"/>
  <c r="E89" i="4"/>
  <c r="D83" i="4"/>
  <c r="E83" i="4"/>
  <c r="D78" i="4"/>
  <c r="E78" i="4"/>
  <c r="D73" i="4"/>
  <c r="E73" i="4"/>
  <c r="D71" i="4"/>
  <c r="E71" i="4"/>
  <c r="D66" i="4"/>
  <c r="E66" i="4"/>
  <c r="D64" i="4"/>
  <c r="E64" i="4"/>
  <c r="D59" i="4"/>
  <c r="E59" i="4"/>
  <c r="D57" i="4"/>
  <c r="E57" i="4"/>
  <c r="D52" i="4"/>
  <c r="E52" i="4"/>
  <c r="D50" i="4"/>
  <c r="E50" i="4"/>
  <c r="D45" i="4"/>
  <c r="E45" i="4"/>
  <c r="D43" i="4"/>
  <c r="E43" i="4"/>
  <c r="D38" i="4"/>
  <c r="E38" i="4"/>
  <c r="D36" i="4"/>
  <c r="E36" i="4"/>
  <c r="D31" i="4"/>
  <c r="E31" i="4"/>
  <c r="D29" i="4"/>
  <c r="E29" i="4"/>
  <c r="E142" i="4"/>
  <c r="G142" i="4"/>
  <c r="H142" i="4"/>
  <c r="I142" i="4"/>
  <c r="J142" i="4"/>
  <c r="K142" i="4"/>
  <c r="E141" i="4"/>
  <c r="G141" i="4"/>
  <c r="H141" i="4"/>
  <c r="I141" i="4"/>
  <c r="J141" i="4"/>
  <c r="K141" i="4"/>
  <c r="E140" i="4"/>
  <c r="G140" i="4"/>
  <c r="H140" i="4"/>
  <c r="I140" i="4"/>
  <c r="J140" i="4"/>
  <c r="K140" i="4"/>
  <c r="G139" i="4"/>
  <c r="H139" i="4"/>
  <c r="I139" i="4"/>
  <c r="J139" i="4"/>
  <c r="K139" i="4"/>
  <c r="E138" i="4"/>
  <c r="G138" i="4"/>
  <c r="H138" i="4"/>
  <c r="I138" i="4"/>
  <c r="J138" i="4"/>
  <c r="K138" i="4"/>
  <c r="G137" i="4"/>
  <c r="H137" i="4"/>
  <c r="I137" i="4"/>
  <c r="J137" i="4"/>
  <c r="K137" i="4"/>
  <c r="G136" i="4"/>
  <c r="H136" i="4"/>
  <c r="I136" i="4"/>
  <c r="J136" i="4"/>
  <c r="K136" i="4"/>
  <c r="E135" i="4"/>
  <c r="G135" i="4"/>
  <c r="H135" i="4"/>
  <c r="I135" i="4"/>
  <c r="J135" i="4"/>
  <c r="K135" i="4"/>
  <c r="E134" i="4"/>
  <c r="G134" i="4"/>
  <c r="H134" i="4"/>
  <c r="I134" i="4"/>
  <c r="J134" i="4"/>
  <c r="K134" i="4"/>
  <c r="E133" i="4"/>
  <c r="G133" i="4"/>
  <c r="H133" i="4"/>
  <c r="I133" i="4"/>
  <c r="J133" i="4"/>
  <c r="K133" i="4"/>
  <c r="G132" i="4"/>
  <c r="H132" i="4"/>
  <c r="I132" i="4"/>
  <c r="J132" i="4"/>
  <c r="K132" i="4"/>
  <c r="G131" i="4"/>
  <c r="H131" i="4"/>
  <c r="I131" i="4"/>
  <c r="J131" i="4"/>
  <c r="K131" i="4"/>
  <c r="E130" i="4"/>
  <c r="G130" i="4"/>
  <c r="H130" i="4"/>
  <c r="I130" i="4"/>
  <c r="J130" i="4"/>
  <c r="K130" i="4"/>
  <c r="E129" i="4"/>
  <c r="G129" i="4"/>
  <c r="H129" i="4"/>
  <c r="I129" i="4"/>
  <c r="J129" i="4"/>
  <c r="K129" i="4"/>
  <c r="E128" i="4"/>
  <c r="G128" i="4"/>
  <c r="H128" i="4"/>
  <c r="I128" i="4"/>
  <c r="J128" i="4"/>
  <c r="K128" i="4"/>
  <c r="G127" i="4"/>
  <c r="H127" i="4"/>
  <c r="I127" i="4"/>
  <c r="J127" i="4"/>
  <c r="K127" i="4"/>
  <c r="E125" i="4"/>
  <c r="G125" i="4"/>
  <c r="H125" i="4"/>
  <c r="I125" i="4"/>
  <c r="J125" i="4"/>
  <c r="K125" i="4"/>
  <c r="E124" i="4"/>
  <c r="G124" i="4"/>
  <c r="H124" i="4"/>
  <c r="I124" i="4"/>
  <c r="J124" i="4"/>
  <c r="K124" i="4"/>
  <c r="E123" i="4"/>
  <c r="G123" i="4"/>
  <c r="H123" i="4"/>
  <c r="I123" i="4"/>
  <c r="J123" i="4"/>
  <c r="K123" i="4"/>
  <c r="G122" i="4"/>
  <c r="H122" i="4"/>
  <c r="I122" i="4"/>
  <c r="J122" i="4"/>
  <c r="K122" i="4"/>
  <c r="G121" i="4"/>
  <c r="H121" i="4"/>
  <c r="I121" i="4"/>
  <c r="J121" i="4"/>
  <c r="K121" i="4"/>
  <c r="E120" i="4"/>
  <c r="G120" i="4"/>
  <c r="H120" i="4"/>
  <c r="I120" i="4"/>
  <c r="J120" i="4"/>
  <c r="K120" i="4"/>
  <c r="E119" i="4"/>
  <c r="G119" i="4"/>
  <c r="H119" i="4"/>
  <c r="I119" i="4"/>
  <c r="J119" i="4"/>
  <c r="K119" i="4"/>
  <c r="E118" i="4"/>
  <c r="G118" i="4"/>
  <c r="H118" i="4"/>
  <c r="I118" i="4"/>
  <c r="J118" i="4"/>
  <c r="K118" i="4"/>
  <c r="G117" i="4"/>
  <c r="H117" i="4"/>
  <c r="I117" i="4"/>
  <c r="J117" i="4"/>
  <c r="K117" i="4"/>
  <c r="G116" i="4"/>
  <c r="H116" i="4"/>
  <c r="I116" i="4"/>
  <c r="J116" i="4"/>
  <c r="K116" i="4"/>
  <c r="G115" i="4"/>
  <c r="H115" i="4"/>
  <c r="I115" i="4"/>
  <c r="J115" i="4"/>
  <c r="K115" i="4"/>
  <c r="E114" i="4"/>
  <c r="G114" i="4"/>
  <c r="H114" i="4"/>
  <c r="I114" i="4"/>
  <c r="J114" i="4"/>
  <c r="K114" i="4"/>
  <c r="E113" i="4"/>
  <c r="G113" i="4"/>
  <c r="H113" i="4"/>
  <c r="I113" i="4"/>
  <c r="J113" i="4"/>
  <c r="K113" i="4"/>
  <c r="E112" i="4"/>
  <c r="G112" i="4"/>
  <c r="H112" i="4"/>
  <c r="I112" i="4"/>
  <c r="J112" i="4"/>
  <c r="K112" i="4"/>
  <c r="G111" i="4"/>
  <c r="H111" i="4"/>
  <c r="I111" i="4"/>
  <c r="J111" i="4"/>
  <c r="K111" i="4"/>
  <c r="G110" i="4"/>
  <c r="H110" i="4"/>
  <c r="I110" i="4"/>
  <c r="J110" i="4"/>
  <c r="K110" i="4"/>
  <c r="E109" i="4"/>
  <c r="G109" i="4"/>
  <c r="H109" i="4"/>
  <c r="I109" i="4"/>
  <c r="J109" i="4"/>
  <c r="K109" i="4"/>
  <c r="E108" i="4"/>
  <c r="G108" i="4"/>
  <c r="H108" i="4"/>
  <c r="I108" i="4"/>
  <c r="J108" i="4"/>
  <c r="K108" i="4"/>
  <c r="E107" i="4"/>
  <c r="G107" i="4"/>
  <c r="H107" i="4"/>
  <c r="I107" i="4"/>
  <c r="J107" i="4"/>
  <c r="K107" i="4"/>
  <c r="G106" i="4"/>
  <c r="H106" i="4"/>
  <c r="I106" i="4"/>
  <c r="J106" i="4"/>
  <c r="K106" i="4"/>
  <c r="G105" i="4"/>
  <c r="H105" i="4"/>
  <c r="I105" i="4"/>
  <c r="J105" i="4"/>
  <c r="K105" i="4"/>
  <c r="G104" i="4"/>
  <c r="H104" i="4"/>
  <c r="I104" i="4"/>
  <c r="J104" i="4"/>
  <c r="K104" i="4"/>
  <c r="E103" i="4"/>
  <c r="G103" i="4"/>
  <c r="H103" i="4"/>
  <c r="I103" i="4"/>
  <c r="J103" i="4"/>
  <c r="K103" i="4"/>
  <c r="E102" i="4"/>
  <c r="G102" i="4"/>
  <c r="H102" i="4"/>
  <c r="I102" i="4"/>
  <c r="J102" i="4"/>
  <c r="K102" i="4"/>
  <c r="E101" i="4"/>
  <c r="G101" i="4"/>
  <c r="H101" i="4"/>
  <c r="I101" i="4"/>
  <c r="J101" i="4"/>
  <c r="K101" i="4"/>
  <c r="G100" i="4"/>
  <c r="H100" i="4"/>
  <c r="I100" i="4"/>
  <c r="J100" i="4"/>
  <c r="K100" i="4"/>
  <c r="E97" i="4"/>
  <c r="G97" i="4"/>
  <c r="H97" i="4"/>
  <c r="I97" i="4"/>
  <c r="J97" i="4"/>
  <c r="K97" i="4"/>
  <c r="E96" i="4"/>
  <c r="G96" i="4"/>
  <c r="H96" i="4"/>
  <c r="I96" i="4"/>
  <c r="J96" i="4"/>
  <c r="K96" i="4"/>
  <c r="E95" i="4"/>
  <c r="G95" i="4"/>
  <c r="H95" i="4"/>
  <c r="I95" i="4"/>
  <c r="J95" i="4"/>
  <c r="K95" i="4"/>
  <c r="G94" i="4"/>
  <c r="H94" i="4"/>
  <c r="I94" i="4"/>
  <c r="J94" i="4"/>
  <c r="K94" i="4"/>
  <c r="E92" i="4"/>
  <c r="G92" i="4"/>
  <c r="H92" i="4"/>
  <c r="I92" i="4"/>
  <c r="J92" i="4"/>
  <c r="K92" i="4"/>
  <c r="E91" i="4"/>
  <c r="G91" i="4"/>
  <c r="H91" i="4"/>
  <c r="I91" i="4"/>
  <c r="J91" i="4"/>
  <c r="K91" i="4"/>
  <c r="E90" i="4"/>
  <c r="G90" i="4"/>
  <c r="H90" i="4"/>
  <c r="I90" i="4"/>
  <c r="J90" i="4"/>
  <c r="K90" i="4"/>
  <c r="G89" i="4"/>
  <c r="H89" i="4"/>
  <c r="I89" i="4"/>
  <c r="J89" i="4"/>
  <c r="K89" i="4"/>
  <c r="G88" i="4"/>
  <c r="H88" i="4"/>
  <c r="I88" i="4"/>
  <c r="J88" i="4"/>
  <c r="K88" i="4"/>
  <c r="G87" i="4"/>
  <c r="H87" i="4"/>
  <c r="I87" i="4"/>
  <c r="J87" i="4"/>
  <c r="K87" i="4"/>
  <c r="E86" i="4"/>
  <c r="G86" i="4"/>
  <c r="H86" i="4"/>
  <c r="I86" i="4"/>
  <c r="J86" i="4"/>
  <c r="K86" i="4"/>
  <c r="E85" i="4"/>
  <c r="G85" i="4"/>
  <c r="H85" i="4"/>
  <c r="I85" i="4"/>
  <c r="J85" i="4"/>
  <c r="K85" i="4"/>
  <c r="E84" i="4"/>
  <c r="G84" i="4"/>
  <c r="H84" i="4"/>
  <c r="I84" i="4"/>
  <c r="J84" i="4"/>
  <c r="K84" i="4"/>
  <c r="G83" i="4"/>
  <c r="H83" i="4"/>
  <c r="I83" i="4"/>
  <c r="J83" i="4"/>
  <c r="K83" i="4"/>
  <c r="G82" i="4"/>
  <c r="H82" i="4"/>
  <c r="I82" i="4"/>
  <c r="J82" i="4"/>
  <c r="K82" i="4"/>
  <c r="E81" i="4"/>
  <c r="G81" i="4"/>
  <c r="H81" i="4"/>
  <c r="I81" i="4"/>
  <c r="J81" i="4"/>
  <c r="K81" i="4"/>
  <c r="E80" i="4"/>
  <c r="G80" i="4"/>
  <c r="H80" i="4"/>
  <c r="I80" i="4"/>
  <c r="J80" i="4"/>
  <c r="K80" i="4"/>
  <c r="E79" i="4"/>
  <c r="G79" i="4"/>
  <c r="H79" i="4"/>
  <c r="I79" i="4"/>
  <c r="J79" i="4"/>
  <c r="K79" i="4"/>
  <c r="G78" i="4"/>
  <c r="H78" i="4"/>
  <c r="I78" i="4"/>
  <c r="J78" i="4"/>
  <c r="K78" i="4"/>
  <c r="G77" i="4"/>
  <c r="H77" i="4"/>
  <c r="I77" i="4"/>
  <c r="J77" i="4"/>
  <c r="K77" i="4"/>
  <c r="E76" i="4"/>
  <c r="G76" i="4"/>
  <c r="H76" i="4"/>
  <c r="I76" i="4"/>
  <c r="J76" i="4"/>
  <c r="K76" i="4"/>
  <c r="E75" i="4"/>
  <c r="G75" i="4"/>
  <c r="H75" i="4"/>
  <c r="I75" i="4"/>
  <c r="J75" i="4"/>
  <c r="K75" i="4"/>
  <c r="E74" i="4"/>
  <c r="G74" i="4"/>
  <c r="H74" i="4"/>
  <c r="I74" i="4"/>
  <c r="J74" i="4"/>
  <c r="K74" i="4"/>
  <c r="G73" i="4"/>
  <c r="H73" i="4"/>
  <c r="I73" i="4"/>
  <c r="J73" i="4"/>
  <c r="K73" i="4"/>
  <c r="E72" i="4"/>
  <c r="G72" i="4"/>
  <c r="H72" i="4"/>
  <c r="I72" i="4"/>
  <c r="J72" i="4"/>
  <c r="K72" i="4"/>
  <c r="G71" i="4"/>
  <c r="H71" i="4"/>
  <c r="I71" i="4"/>
  <c r="J71" i="4"/>
  <c r="K71" i="4"/>
  <c r="G70" i="4"/>
  <c r="H70" i="4"/>
  <c r="I70" i="4"/>
  <c r="J70" i="4"/>
  <c r="K70" i="4"/>
  <c r="E69" i="4"/>
  <c r="G69" i="4"/>
  <c r="H69" i="4"/>
  <c r="I69" i="4"/>
  <c r="J69" i="4"/>
  <c r="K69" i="4"/>
  <c r="E68" i="4"/>
  <c r="G68" i="4"/>
  <c r="H68" i="4"/>
  <c r="I68" i="4"/>
  <c r="J68" i="4"/>
  <c r="K68" i="4"/>
  <c r="E67" i="4"/>
  <c r="G67" i="4"/>
  <c r="H67" i="4"/>
  <c r="I67" i="4"/>
  <c r="J67" i="4"/>
  <c r="K67" i="4"/>
  <c r="G66" i="4"/>
  <c r="H66" i="4"/>
  <c r="I66" i="4"/>
  <c r="J66" i="4"/>
  <c r="K66" i="4"/>
  <c r="E65" i="4"/>
  <c r="G65" i="4"/>
  <c r="H65" i="4"/>
  <c r="I65" i="4"/>
  <c r="J65" i="4"/>
  <c r="K65" i="4"/>
  <c r="G64" i="4"/>
  <c r="H64" i="4"/>
  <c r="I64" i="4"/>
  <c r="J64" i="4"/>
  <c r="K64" i="4"/>
  <c r="G63" i="4"/>
  <c r="H63" i="4"/>
  <c r="I63" i="4"/>
  <c r="J63" i="4"/>
  <c r="K63" i="4"/>
  <c r="E62" i="4"/>
  <c r="G62" i="4"/>
  <c r="H62" i="4"/>
  <c r="I62" i="4"/>
  <c r="J62" i="4"/>
  <c r="K62" i="4"/>
  <c r="E61" i="4"/>
  <c r="G61" i="4"/>
  <c r="H61" i="4"/>
  <c r="I61" i="4"/>
  <c r="J61" i="4"/>
  <c r="K61" i="4"/>
  <c r="E60" i="4"/>
  <c r="G60" i="4"/>
  <c r="H60" i="4"/>
  <c r="I60" i="4"/>
  <c r="J60" i="4"/>
  <c r="K60" i="4"/>
  <c r="G59" i="4"/>
  <c r="H59" i="4"/>
  <c r="I59" i="4"/>
  <c r="J59" i="4"/>
  <c r="K59" i="4"/>
  <c r="E58" i="4"/>
  <c r="G58" i="4"/>
  <c r="H58" i="4"/>
  <c r="I58" i="4"/>
  <c r="J58" i="4"/>
  <c r="K58" i="4"/>
  <c r="G57" i="4"/>
  <c r="H57" i="4"/>
  <c r="I57" i="4"/>
  <c r="J57" i="4"/>
  <c r="K57" i="4"/>
  <c r="G56" i="4"/>
  <c r="H56" i="4"/>
  <c r="I56" i="4"/>
  <c r="J56" i="4"/>
  <c r="K56" i="4"/>
  <c r="E55" i="4"/>
  <c r="G55" i="4"/>
  <c r="H55" i="4"/>
  <c r="I55" i="4"/>
  <c r="J55" i="4"/>
  <c r="K55" i="4"/>
  <c r="E54" i="4"/>
  <c r="G54" i="4"/>
  <c r="H54" i="4"/>
  <c r="I54" i="4"/>
  <c r="J54" i="4"/>
  <c r="K54" i="4"/>
  <c r="E53" i="4"/>
  <c r="G53" i="4"/>
  <c r="H53" i="4"/>
  <c r="I53" i="4"/>
  <c r="J53" i="4"/>
  <c r="K53" i="4"/>
  <c r="G52" i="4"/>
  <c r="H52" i="4"/>
  <c r="I52" i="4"/>
  <c r="J52" i="4"/>
  <c r="K52" i="4"/>
  <c r="E51" i="4"/>
  <c r="G51" i="4"/>
  <c r="H51" i="4"/>
  <c r="I51" i="4"/>
  <c r="J51" i="4"/>
  <c r="K51" i="4"/>
  <c r="G50" i="4"/>
  <c r="H50" i="4"/>
  <c r="I50" i="4"/>
  <c r="J50" i="4"/>
  <c r="K50" i="4"/>
  <c r="E48" i="4"/>
  <c r="G48" i="4"/>
  <c r="H48" i="4"/>
  <c r="I48" i="4"/>
  <c r="J48" i="4"/>
  <c r="K48" i="4"/>
  <c r="E47" i="4"/>
  <c r="G47" i="4"/>
  <c r="H47" i="4"/>
  <c r="I47" i="4"/>
  <c r="J47" i="4"/>
  <c r="K47" i="4"/>
  <c r="E46" i="4"/>
  <c r="G46" i="4"/>
  <c r="H46" i="4"/>
  <c r="I46" i="4"/>
  <c r="J46" i="4"/>
  <c r="K46" i="4"/>
  <c r="G45" i="4"/>
  <c r="H45" i="4"/>
  <c r="I45" i="4"/>
  <c r="J45" i="4"/>
  <c r="K45" i="4"/>
  <c r="E44" i="4"/>
  <c r="G44" i="4"/>
  <c r="H44" i="4"/>
  <c r="I44" i="4"/>
  <c r="J44" i="4"/>
  <c r="K44" i="4"/>
  <c r="G43" i="4"/>
  <c r="H43" i="4"/>
  <c r="I43" i="4"/>
  <c r="J43" i="4"/>
  <c r="K43" i="4"/>
  <c r="E41" i="4"/>
  <c r="G41" i="4"/>
  <c r="H41" i="4"/>
  <c r="I41" i="4"/>
  <c r="J41" i="4"/>
  <c r="K41" i="4"/>
  <c r="E40" i="4"/>
  <c r="G40" i="4"/>
  <c r="H40" i="4"/>
  <c r="I40" i="4"/>
  <c r="J40" i="4"/>
  <c r="K40" i="4"/>
  <c r="E39" i="4"/>
  <c r="G39" i="4"/>
  <c r="H39" i="4"/>
  <c r="I39" i="4"/>
  <c r="J39" i="4"/>
  <c r="K39" i="4"/>
  <c r="G38" i="4"/>
  <c r="H38" i="4"/>
  <c r="I38" i="4"/>
  <c r="J38" i="4"/>
  <c r="K38" i="4"/>
  <c r="E37" i="4"/>
  <c r="G37" i="4"/>
  <c r="H37" i="4"/>
  <c r="I37" i="4"/>
  <c r="J37" i="4"/>
  <c r="K37" i="4"/>
  <c r="G36" i="4"/>
  <c r="H36" i="4"/>
  <c r="I36" i="4"/>
  <c r="J36" i="4"/>
  <c r="K36" i="4"/>
  <c r="E34" i="4"/>
  <c r="G34" i="4"/>
  <c r="H34" i="4"/>
  <c r="I34" i="4"/>
  <c r="J34" i="4"/>
  <c r="K34" i="4"/>
  <c r="E33" i="4"/>
  <c r="G33" i="4"/>
  <c r="H33" i="4"/>
  <c r="I33" i="4"/>
  <c r="J33" i="4"/>
  <c r="K33" i="4"/>
  <c r="E32" i="4"/>
  <c r="G32" i="4"/>
  <c r="H32" i="4"/>
  <c r="I32" i="4"/>
  <c r="J32" i="4"/>
  <c r="K32" i="4"/>
  <c r="G31" i="4"/>
  <c r="H31" i="4"/>
  <c r="I31" i="4"/>
  <c r="J31" i="4"/>
  <c r="K31" i="4"/>
  <c r="E30" i="4"/>
  <c r="G30" i="4"/>
  <c r="H30" i="4"/>
  <c r="I30" i="4"/>
  <c r="J30" i="4"/>
  <c r="K30" i="4"/>
  <c r="G29" i="4"/>
  <c r="H29" i="4"/>
  <c r="I29" i="4"/>
  <c r="J29" i="4"/>
  <c r="K29" i="4"/>
  <c r="J27" i="4"/>
  <c r="G27" i="4"/>
  <c r="H27" i="4"/>
  <c r="G26" i="4"/>
  <c r="H26" i="4"/>
  <c r="G25" i="4"/>
  <c r="H25" i="4"/>
  <c r="G24" i="4"/>
  <c r="H24" i="4"/>
  <c r="G23" i="4"/>
  <c r="H23" i="4"/>
  <c r="G22" i="4"/>
  <c r="H22" i="4"/>
  <c r="G20" i="4"/>
  <c r="H20" i="4"/>
  <c r="G19" i="4"/>
  <c r="H19" i="4"/>
  <c r="G18" i="4"/>
  <c r="H18" i="4"/>
  <c r="G17" i="4"/>
  <c r="H17" i="4"/>
  <c r="I17" i="4"/>
  <c r="J17" i="4"/>
  <c r="K17" i="4"/>
  <c r="G35" i="1"/>
  <c r="G36" i="1"/>
  <c r="G37" i="1"/>
  <c r="G38" i="1"/>
  <c r="G39" i="1"/>
  <c r="G34" i="1"/>
  <c r="L32" i="1"/>
  <c r="G145" i="1"/>
  <c r="I145" i="1"/>
  <c r="J145" i="1"/>
  <c r="K145" i="1"/>
  <c r="L145" i="1"/>
  <c r="M145" i="1"/>
  <c r="G147" i="1"/>
  <c r="I147" i="1"/>
  <c r="J147" i="1"/>
  <c r="K147" i="1"/>
  <c r="L147" i="1"/>
  <c r="M147" i="1"/>
  <c r="O145" i="1"/>
  <c r="G143" i="1"/>
  <c r="I143" i="1"/>
  <c r="J143" i="1"/>
  <c r="K143" i="1"/>
  <c r="L143" i="1"/>
  <c r="M143" i="1"/>
  <c r="O143" i="1"/>
  <c r="G144" i="1"/>
  <c r="I144" i="1"/>
  <c r="J144" i="1"/>
  <c r="K144" i="1"/>
  <c r="L144" i="1"/>
  <c r="M144" i="1"/>
  <c r="G146" i="1"/>
  <c r="I146" i="1"/>
  <c r="J146" i="1"/>
  <c r="K146" i="1"/>
  <c r="L146" i="1"/>
  <c r="M146" i="1"/>
  <c r="N144" i="1"/>
  <c r="G142" i="1"/>
  <c r="I142" i="1"/>
  <c r="J142" i="1"/>
  <c r="K142" i="1"/>
  <c r="L142" i="1"/>
  <c r="M142" i="1"/>
  <c r="N142" i="1"/>
  <c r="G138" i="1"/>
  <c r="I138" i="1"/>
  <c r="J138" i="1"/>
  <c r="K138" i="1"/>
  <c r="L138" i="1"/>
  <c r="M138" i="1"/>
  <c r="G140" i="1"/>
  <c r="I140" i="1"/>
  <c r="J140" i="1"/>
  <c r="K140" i="1"/>
  <c r="L140" i="1"/>
  <c r="M140" i="1"/>
  <c r="O138" i="1"/>
  <c r="G137" i="1"/>
  <c r="I137" i="1"/>
  <c r="J137" i="1"/>
  <c r="K137" i="1"/>
  <c r="L137" i="1"/>
  <c r="M137" i="1"/>
  <c r="G139" i="1"/>
  <c r="I139" i="1"/>
  <c r="J139" i="1"/>
  <c r="K139" i="1"/>
  <c r="L139" i="1"/>
  <c r="M139" i="1"/>
  <c r="N137" i="1"/>
  <c r="G133" i="1"/>
  <c r="I133" i="1"/>
  <c r="J133" i="1"/>
  <c r="K133" i="1"/>
  <c r="L133" i="1"/>
  <c r="M133" i="1"/>
  <c r="G135" i="1"/>
  <c r="I135" i="1"/>
  <c r="J135" i="1"/>
  <c r="K135" i="1"/>
  <c r="L135" i="1"/>
  <c r="M135" i="1"/>
  <c r="O133" i="1"/>
  <c r="G132" i="1"/>
  <c r="I132" i="1"/>
  <c r="J132" i="1"/>
  <c r="K132" i="1"/>
  <c r="L132" i="1"/>
  <c r="M132" i="1"/>
  <c r="G134" i="1"/>
  <c r="I134" i="1"/>
  <c r="J134" i="1"/>
  <c r="K134" i="1"/>
  <c r="L134" i="1"/>
  <c r="M134" i="1"/>
  <c r="N132" i="1"/>
  <c r="G128" i="1"/>
  <c r="I128" i="1"/>
  <c r="J128" i="1"/>
  <c r="K128" i="1"/>
  <c r="L128" i="1"/>
  <c r="M128" i="1"/>
  <c r="G130" i="1"/>
  <c r="I130" i="1"/>
  <c r="J130" i="1"/>
  <c r="K130" i="1"/>
  <c r="L130" i="1"/>
  <c r="M130" i="1"/>
  <c r="O128" i="1"/>
  <c r="G127" i="1"/>
  <c r="I127" i="1"/>
  <c r="J127" i="1"/>
  <c r="K127" i="1"/>
  <c r="L127" i="1"/>
  <c r="M127" i="1"/>
  <c r="G129" i="1"/>
  <c r="I129" i="1"/>
  <c r="J129" i="1"/>
  <c r="K129" i="1"/>
  <c r="L129" i="1"/>
  <c r="M129" i="1"/>
  <c r="N127" i="1"/>
  <c r="G123" i="1"/>
  <c r="I123" i="1"/>
  <c r="J123" i="1"/>
  <c r="K123" i="1"/>
  <c r="L123" i="1"/>
  <c r="M123" i="1"/>
  <c r="G125" i="1"/>
  <c r="I125" i="1"/>
  <c r="J125" i="1"/>
  <c r="K125" i="1"/>
  <c r="L125" i="1"/>
  <c r="M125" i="1"/>
  <c r="O123" i="1"/>
  <c r="G122" i="1"/>
  <c r="I122" i="1"/>
  <c r="J122" i="1"/>
  <c r="K122" i="1"/>
  <c r="L122" i="1"/>
  <c r="M122" i="1"/>
  <c r="G124" i="1"/>
  <c r="I124" i="1"/>
  <c r="J124" i="1"/>
  <c r="K124" i="1"/>
  <c r="L124" i="1"/>
  <c r="M124" i="1"/>
  <c r="N122" i="1"/>
  <c r="G117" i="1"/>
  <c r="I117" i="1"/>
  <c r="J117" i="1"/>
  <c r="K117" i="1"/>
  <c r="L117" i="1"/>
  <c r="M117" i="1"/>
  <c r="G119" i="1"/>
  <c r="I119" i="1"/>
  <c r="J119" i="1"/>
  <c r="K119" i="1"/>
  <c r="L119" i="1"/>
  <c r="M119" i="1"/>
  <c r="O117" i="1"/>
  <c r="G116" i="1"/>
  <c r="I116" i="1"/>
  <c r="J116" i="1"/>
  <c r="K116" i="1"/>
  <c r="L116" i="1"/>
  <c r="M116" i="1"/>
  <c r="G118" i="1"/>
  <c r="I118" i="1"/>
  <c r="J118" i="1"/>
  <c r="K118" i="1"/>
  <c r="L118" i="1"/>
  <c r="M118" i="1"/>
  <c r="N116" i="1"/>
  <c r="G112" i="1"/>
  <c r="I112" i="1"/>
  <c r="J112" i="1"/>
  <c r="K112" i="1"/>
  <c r="L112" i="1"/>
  <c r="M112" i="1"/>
  <c r="G114" i="1"/>
  <c r="I114" i="1"/>
  <c r="J114" i="1"/>
  <c r="K114" i="1"/>
  <c r="L114" i="1"/>
  <c r="M114" i="1"/>
  <c r="O112" i="1"/>
  <c r="G111" i="1"/>
  <c r="I111" i="1"/>
  <c r="J111" i="1"/>
  <c r="K111" i="1"/>
  <c r="L111" i="1"/>
  <c r="M111" i="1"/>
  <c r="G113" i="1"/>
  <c r="I113" i="1"/>
  <c r="J113" i="1"/>
  <c r="K113" i="1"/>
  <c r="L113" i="1"/>
  <c r="M113" i="1"/>
  <c r="N111" i="1"/>
  <c r="G106" i="1"/>
  <c r="I106" i="1"/>
  <c r="J106" i="1"/>
  <c r="K106" i="1"/>
  <c r="L106" i="1"/>
  <c r="M106" i="1"/>
  <c r="G108" i="1"/>
  <c r="I108" i="1"/>
  <c r="J108" i="1"/>
  <c r="K108" i="1"/>
  <c r="L108" i="1"/>
  <c r="M108" i="1"/>
  <c r="O106" i="1"/>
  <c r="G105" i="1"/>
  <c r="I105" i="1"/>
  <c r="J105" i="1"/>
  <c r="K105" i="1"/>
  <c r="L105" i="1"/>
  <c r="M105" i="1"/>
  <c r="G107" i="1"/>
  <c r="I107" i="1"/>
  <c r="J107" i="1"/>
  <c r="K107" i="1"/>
  <c r="L107" i="1"/>
  <c r="M107" i="1"/>
  <c r="N105" i="1"/>
  <c r="G100" i="1"/>
  <c r="I100" i="1"/>
  <c r="J100" i="1"/>
  <c r="K100" i="1"/>
  <c r="L100" i="1"/>
  <c r="M100" i="1"/>
  <c r="G102" i="1"/>
  <c r="I102" i="1"/>
  <c r="J102" i="1"/>
  <c r="K102" i="1"/>
  <c r="L102" i="1"/>
  <c r="M102" i="1"/>
  <c r="O100" i="1"/>
  <c r="G99" i="1"/>
  <c r="I99" i="1"/>
  <c r="J99" i="1"/>
  <c r="K99" i="1"/>
  <c r="L99" i="1"/>
  <c r="M99" i="1"/>
  <c r="G101" i="1"/>
  <c r="I101" i="1"/>
  <c r="J101" i="1"/>
  <c r="K101" i="1"/>
  <c r="L101" i="1"/>
  <c r="M101" i="1"/>
  <c r="N99" i="1"/>
  <c r="G95" i="1"/>
  <c r="I95" i="1"/>
  <c r="J95" i="1"/>
  <c r="K95" i="1"/>
  <c r="L95" i="1"/>
  <c r="M95" i="1"/>
  <c r="G97" i="1"/>
  <c r="I97" i="1"/>
  <c r="J97" i="1"/>
  <c r="K97" i="1"/>
  <c r="L97" i="1"/>
  <c r="M97" i="1"/>
  <c r="O95" i="1"/>
  <c r="G94" i="1"/>
  <c r="I94" i="1"/>
  <c r="J94" i="1"/>
  <c r="K94" i="1"/>
  <c r="L94" i="1"/>
  <c r="M94" i="1"/>
  <c r="G96" i="1"/>
  <c r="I96" i="1"/>
  <c r="J96" i="1"/>
  <c r="K96" i="1"/>
  <c r="L96" i="1"/>
  <c r="M96" i="1"/>
  <c r="N94" i="1"/>
  <c r="G89" i="1"/>
  <c r="I89" i="1"/>
  <c r="J89" i="1"/>
  <c r="K89" i="1"/>
  <c r="L89" i="1"/>
  <c r="M89" i="1"/>
  <c r="G91" i="1"/>
  <c r="I91" i="1"/>
  <c r="J91" i="1"/>
  <c r="K91" i="1"/>
  <c r="L91" i="1"/>
  <c r="M91" i="1"/>
  <c r="O89" i="1"/>
  <c r="G88" i="1"/>
  <c r="I88" i="1"/>
  <c r="J88" i="1"/>
  <c r="K88" i="1"/>
  <c r="L88" i="1"/>
  <c r="M88" i="1"/>
  <c r="G90" i="1"/>
  <c r="I90" i="1"/>
  <c r="J90" i="1"/>
  <c r="K90" i="1"/>
  <c r="L90" i="1"/>
  <c r="M90" i="1"/>
  <c r="N88" i="1"/>
  <c r="G84" i="1"/>
  <c r="I84" i="1"/>
  <c r="J84" i="1"/>
  <c r="K84" i="1"/>
  <c r="L84" i="1"/>
  <c r="M84" i="1"/>
  <c r="G86" i="1"/>
  <c r="I86" i="1"/>
  <c r="J86" i="1"/>
  <c r="K86" i="1"/>
  <c r="L86" i="1"/>
  <c r="M86" i="1"/>
  <c r="O84" i="1"/>
  <c r="G83" i="1"/>
  <c r="I83" i="1"/>
  <c r="J83" i="1"/>
  <c r="K83" i="1"/>
  <c r="L83" i="1"/>
  <c r="M83" i="1"/>
  <c r="G85" i="1"/>
  <c r="I85" i="1"/>
  <c r="J85" i="1"/>
  <c r="K85" i="1"/>
  <c r="L85" i="1"/>
  <c r="M85" i="1"/>
  <c r="N83" i="1"/>
  <c r="G79" i="1"/>
  <c r="I79" i="1"/>
  <c r="J79" i="1"/>
  <c r="K79" i="1"/>
  <c r="L79" i="1"/>
  <c r="M79" i="1"/>
  <c r="G81" i="1"/>
  <c r="I81" i="1"/>
  <c r="J81" i="1"/>
  <c r="K81" i="1"/>
  <c r="L81" i="1"/>
  <c r="M81" i="1"/>
  <c r="O79" i="1"/>
  <c r="G77" i="1"/>
  <c r="I77" i="1"/>
  <c r="J77" i="1"/>
  <c r="K77" i="1"/>
  <c r="L77" i="1"/>
  <c r="M77" i="1"/>
  <c r="O77" i="1"/>
  <c r="G78" i="1"/>
  <c r="I78" i="1"/>
  <c r="J78" i="1"/>
  <c r="K78" i="1"/>
  <c r="L78" i="1"/>
  <c r="M78" i="1"/>
  <c r="G80" i="1"/>
  <c r="I80" i="1"/>
  <c r="J80" i="1"/>
  <c r="K80" i="1"/>
  <c r="L80" i="1"/>
  <c r="M80" i="1"/>
  <c r="N78" i="1"/>
  <c r="G76" i="1"/>
  <c r="I76" i="1"/>
  <c r="J76" i="1"/>
  <c r="K76" i="1"/>
  <c r="L76" i="1"/>
  <c r="M76" i="1"/>
  <c r="N76" i="1"/>
  <c r="G72" i="1"/>
  <c r="I72" i="1"/>
  <c r="J72" i="1"/>
  <c r="K72" i="1"/>
  <c r="L72" i="1"/>
  <c r="M72" i="1"/>
  <c r="G74" i="1"/>
  <c r="I74" i="1"/>
  <c r="J74" i="1"/>
  <c r="K74" i="1"/>
  <c r="L74" i="1"/>
  <c r="M74" i="1"/>
  <c r="O72" i="1"/>
  <c r="G70" i="1"/>
  <c r="I70" i="1"/>
  <c r="J70" i="1"/>
  <c r="K70" i="1"/>
  <c r="L70" i="1"/>
  <c r="M70" i="1"/>
  <c r="O70" i="1"/>
  <c r="G71" i="1"/>
  <c r="I71" i="1"/>
  <c r="J71" i="1"/>
  <c r="K71" i="1"/>
  <c r="L71" i="1"/>
  <c r="M71" i="1"/>
  <c r="G73" i="1"/>
  <c r="I73" i="1"/>
  <c r="J73" i="1"/>
  <c r="K73" i="1"/>
  <c r="L73" i="1"/>
  <c r="M73" i="1"/>
  <c r="N71" i="1"/>
  <c r="G69" i="1"/>
  <c r="I69" i="1"/>
  <c r="J69" i="1"/>
  <c r="K69" i="1"/>
  <c r="L69" i="1"/>
  <c r="M69" i="1"/>
  <c r="N69" i="1"/>
  <c r="G65" i="1"/>
  <c r="I65" i="1"/>
  <c r="J65" i="1"/>
  <c r="K65" i="1"/>
  <c r="L65" i="1"/>
  <c r="M65" i="1"/>
  <c r="G67" i="1"/>
  <c r="I67" i="1"/>
  <c r="J67" i="1"/>
  <c r="K67" i="1"/>
  <c r="L67" i="1"/>
  <c r="M67" i="1"/>
  <c r="O65" i="1"/>
  <c r="G63" i="1"/>
  <c r="I63" i="1"/>
  <c r="J63" i="1"/>
  <c r="K63" i="1"/>
  <c r="L63" i="1"/>
  <c r="M63" i="1"/>
  <c r="O63" i="1"/>
  <c r="G64" i="1"/>
  <c r="I64" i="1"/>
  <c r="J64" i="1"/>
  <c r="K64" i="1"/>
  <c r="L64" i="1"/>
  <c r="M64" i="1"/>
  <c r="G66" i="1"/>
  <c r="I66" i="1"/>
  <c r="J66" i="1"/>
  <c r="K66" i="1"/>
  <c r="L66" i="1"/>
  <c r="M66" i="1"/>
  <c r="N64" i="1"/>
  <c r="G62" i="1"/>
  <c r="I62" i="1"/>
  <c r="J62" i="1"/>
  <c r="K62" i="1"/>
  <c r="L62" i="1"/>
  <c r="M62" i="1"/>
  <c r="N62" i="1"/>
  <c r="G58" i="1"/>
  <c r="I58" i="1"/>
  <c r="J58" i="1"/>
  <c r="K58" i="1"/>
  <c r="L58" i="1"/>
  <c r="M58" i="1"/>
  <c r="G60" i="1"/>
  <c r="I60" i="1"/>
  <c r="J60" i="1"/>
  <c r="K60" i="1"/>
  <c r="L60" i="1"/>
  <c r="M60" i="1"/>
  <c r="O58" i="1"/>
  <c r="G56" i="1"/>
  <c r="I56" i="1"/>
  <c r="J56" i="1"/>
  <c r="K56" i="1"/>
  <c r="L56" i="1"/>
  <c r="M56" i="1"/>
  <c r="O56" i="1"/>
  <c r="G57" i="1"/>
  <c r="I57" i="1"/>
  <c r="J57" i="1"/>
  <c r="K57" i="1"/>
  <c r="L57" i="1"/>
  <c r="M57" i="1"/>
  <c r="G59" i="1"/>
  <c r="I59" i="1"/>
  <c r="J59" i="1"/>
  <c r="K59" i="1"/>
  <c r="L59" i="1"/>
  <c r="M59" i="1"/>
  <c r="N57" i="1"/>
  <c r="G55" i="1"/>
  <c r="I55" i="1"/>
  <c r="J55" i="1"/>
  <c r="K55" i="1"/>
  <c r="L55" i="1"/>
  <c r="M55" i="1"/>
  <c r="N55" i="1"/>
  <c r="G51" i="1"/>
  <c r="I51" i="1"/>
  <c r="J51" i="1"/>
  <c r="K51" i="1"/>
  <c r="L51" i="1"/>
  <c r="M51" i="1"/>
  <c r="G53" i="1"/>
  <c r="I53" i="1"/>
  <c r="J53" i="1"/>
  <c r="K53" i="1"/>
  <c r="L53" i="1"/>
  <c r="M53" i="1"/>
  <c r="O51" i="1"/>
  <c r="G49" i="1"/>
  <c r="I49" i="1"/>
  <c r="J49" i="1"/>
  <c r="K49" i="1"/>
  <c r="L49" i="1"/>
  <c r="M49" i="1"/>
  <c r="O49" i="1"/>
  <c r="G50" i="1"/>
  <c r="I50" i="1"/>
  <c r="J50" i="1"/>
  <c r="K50" i="1"/>
  <c r="L50" i="1"/>
  <c r="M50" i="1"/>
  <c r="G52" i="1"/>
  <c r="I52" i="1"/>
  <c r="J52" i="1"/>
  <c r="K52" i="1"/>
  <c r="L52" i="1"/>
  <c r="M52" i="1"/>
  <c r="N50" i="1"/>
  <c r="G48" i="1"/>
  <c r="I48" i="1"/>
  <c r="J48" i="1"/>
  <c r="K48" i="1"/>
  <c r="L48" i="1"/>
  <c r="M48" i="1"/>
  <c r="N48" i="1"/>
  <c r="G44" i="1"/>
  <c r="I44" i="1"/>
  <c r="J44" i="1"/>
  <c r="K44" i="1"/>
  <c r="L44" i="1"/>
  <c r="M44" i="1"/>
  <c r="G46" i="1"/>
  <c r="I46" i="1"/>
  <c r="J46" i="1"/>
  <c r="K46" i="1"/>
  <c r="L46" i="1"/>
  <c r="M46" i="1"/>
  <c r="O44" i="1"/>
  <c r="G42" i="1"/>
  <c r="I42" i="1"/>
  <c r="J42" i="1"/>
  <c r="K42" i="1"/>
  <c r="L42" i="1"/>
  <c r="M42" i="1"/>
  <c r="O42" i="1"/>
  <c r="G43" i="1"/>
  <c r="I43" i="1"/>
  <c r="J43" i="1"/>
  <c r="K43" i="1"/>
  <c r="L43" i="1"/>
  <c r="M43" i="1"/>
  <c r="G45" i="1"/>
  <c r="I45" i="1"/>
  <c r="J45" i="1"/>
  <c r="K45" i="1"/>
  <c r="L45" i="1"/>
  <c r="M45" i="1"/>
  <c r="N43" i="1"/>
  <c r="G41" i="1"/>
  <c r="I41" i="1"/>
  <c r="J41" i="1"/>
  <c r="K41" i="1"/>
  <c r="L41" i="1"/>
  <c r="M41" i="1"/>
  <c r="N41" i="1"/>
  <c r="I37" i="1"/>
  <c r="J37" i="1"/>
  <c r="K37" i="1"/>
  <c r="L37" i="1"/>
  <c r="M37" i="1"/>
  <c r="I39" i="1"/>
  <c r="J39" i="1"/>
  <c r="K39" i="1"/>
  <c r="L39" i="1"/>
  <c r="M39" i="1"/>
  <c r="O37" i="1"/>
  <c r="I35" i="1"/>
  <c r="J35" i="1"/>
  <c r="K35" i="1"/>
  <c r="L35" i="1"/>
  <c r="M35" i="1"/>
  <c r="O35" i="1"/>
  <c r="I36" i="1"/>
  <c r="J36" i="1"/>
  <c r="K36" i="1"/>
  <c r="L36" i="1"/>
  <c r="M36" i="1"/>
  <c r="I38" i="1"/>
  <c r="J38" i="1"/>
  <c r="K38" i="1"/>
  <c r="L38" i="1"/>
  <c r="M38" i="1"/>
  <c r="N36" i="1"/>
  <c r="I34" i="1"/>
  <c r="J34" i="1"/>
  <c r="K34" i="1"/>
  <c r="L34" i="1"/>
  <c r="M34" i="1"/>
  <c r="N34" i="1"/>
  <c r="I141" i="1"/>
  <c r="J141" i="1"/>
  <c r="K141" i="1"/>
  <c r="L141" i="1"/>
  <c r="M141" i="1"/>
  <c r="I136" i="1"/>
  <c r="J136" i="1"/>
  <c r="K136" i="1"/>
  <c r="L136" i="1"/>
  <c r="M136" i="1"/>
  <c r="I120" i="1"/>
  <c r="J120" i="1"/>
  <c r="K120" i="1"/>
  <c r="L120" i="1"/>
  <c r="M120" i="1"/>
  <c r="I121" i="1"/>
  <c r="J121" i="1"/>
  <c r="K121" i="1"/>
  <c r="L121" i="1"/>
  <c r="M121" i="1"/>
  <c r="I126" i="1"/>
  <c r="J126" i="1"/>
  <c r="K126" i="1"/>
  <c r="L126" i="1"/>
  <c r="M126" i="1"/>
  <c r="I131" i="1"/>
  <c r="J131" i="1"/>
  <c r="K131" i="1"/>
  <c r="L131" i="1"/>
  <c r="M131" i="1"/>
  <c r="I115" i="1"/>
  <c r="J115" i="1"/>
  <c r="K115" i="1"/>
  <c r="L115" i="1"/>
  <c r="M115" i="1"/>
  <c r="I109" i="1"/>
  <c r="J109" i="1"/>
  <c r="K109" i="1"/>
  <c r="L109" i="1"/>
  <c r="M109" i="1"/>
  <c r="I110" i="1"/>
  <c r="J110" i="1"/>
  <c r="K110" i="1"/>
  <c r="L110" i="1"/>
  <c r="M110" i="1"/>
  <c r="I92" i="1"/>
  <c r="J92" i="1"/>
  <c r="K92" i="1"/>
  <c r="L92" i="1"/>
  <c r="M92" i="1"/>
  <c r="I93" i="1"/>
  <c r="J93" i="1"/>
  <c r="K93" i="1"/>
  <c r="L93" i="1"/>
  <c r="M93" i="1"/>
  <c r="I98" i="1"/>
  <c r="J98" i="1"/>
  <c r="K98" i="1"/>
  <c r="L98" i="1"/>
  <c r="M98" i="1"/>
  <c r="I103" i="1"/>
  <c r="J103" i="1"/>
  <c r="K103" i="1"/>
  <c r="L103" i="1"/>
  <c r="M103" i="1"/>
  <c r="I104" i="1"/>
  <c r="J104" i="1"/>
  <c r="K104" i="1"/>
  <c r="L104" i="1"/>
  <c r="M104" i="1"/>
  <c r="I87" i="1"/>
  <c r="J87" i="1"/>
  <c r="K87" i="1"/>
  <c r="L87" i="1"/>
  <c r="M87" i="1"/>
  <c r="I82" i="1"/>
  <c r="J82" i="1"/>
  <c r="K82" i="1"/>
  <c r="L82" i="1"/>
  <c r="M82" i="1"/>
  <c r="I75" i="1"/>
  <c r="J75" i="1"/>
  <c r="K75" i="1"/>
  <c r="L75" i="1"/>
  <c r="M75" i="1"/>
  <c r="I68" i="1"/>
  <c r="J68" i="1"/>
  <c r="K68" i="1"/>
  <c r="L68" i="1"/>
  <c r="M68" i="1"/>
  <c r="I61" i="1"/>
  <c r="J61" i="1"/>
  <c r="K61" i="1"/>
  <c r="L61" i="1"/>
  <c r="M61" i="1"/>
  <c r="O30" i="1"/>
  <c r="O28" i="1"/>
  <c r="N29" i="1"/>
  <c r="N27" i="1"/>
  <c r="O23" i="1"/>
  <c r="G22" i="1"/>
  <c r="I22" i="1"/>
  <c r="J22" i="1"/>
  <c r="K22" i="1"/>
  <c r="L22" i="1"/>
  <c r="M22" i="1"/>
  <c r="N22" i="1"/>
  <c r="G27" i="1"/>
  <c r="I27" i="1"/>
  <c r="J27" i="1"/>
  <c r="G28" i="1"/>
  <c r="I28" i="1"/>
  <c r="J28" i="1"/>
  <c r="G29" i="1"/>
  <c r="I29" i="1"/>
  <c r="J29" i="1"/>
  <c r="G30" i="1"/>
  <c r="I30" i="1"/>
  <c r="J30" i="1"/>
  <c r="G31" i="1"/>
  <c r="I31" i="1"/>
  <c r="J31" i="1"/>
  <c r="G32" i="1"/>
  <c r="I32" i="1"/>
  <c r="J32" i="1"/>
  <c r="G23" i="1"/>
  <c r="I23" i="1"/>
  <c r="J23" i="1"/>
  <c r="G24" i="1"/>
  <c r="I24" i="1"/>
  <c r="J24" i="1"/>
  <c r="G25" i="1"/>
  <c r="I25" i="1"/>
  <c r="J25" i="1"/>
  <c r="D131" i="2"/>
  <c r="E131" i="2"/>
  <c r="D129" i="2"/>
  <c r="E129" i="2"/>
  <c r="D124" i="2"/>
  <c r="E124" i="2"/>
  <c r="D119" i="2"/>
  <c r="E119" i="2"/>
  <c r="D114" i="2"/>
  <c r="E114" i="2"/>
  <c r="D109" i="2"/>
  <c r="E109" i="2"/>
  <c r="D103" i="2"/>
  <c r="E103" i="2"/>
  <c r="D98" i="2"/>
  <c r="E98" i="2"/>
  <c r="D92" i="2"/>
  <c r="E92" i="2"/>
  <c r="D86" i="2"/>
  <c r="E86" i="2"/>
  <c r="D81" i="2"/>
  <c r="E81" i="2"/>
  <c r="D75" i="2"/>
  <c r="E75" i="2"/>
  <c r="D70" i="2"/>
  <c r="E70" i="2"/>
  <c r="D65" i="2"/>
  <c r="E65" i="2"/>
  <c r="D63" i="2"/>
  <c r="E63" i="2"/>
  <c r="D58" i="2"/>
  <c r="E58" i="2"/>
  <c r="D56" i="2"/>
  <c r="E56" i="2"/>
  <c r="D51" i="2"/>
  <c r="E51" i="2"/>
  <c r="D49" i="2"/>
  <c r="E49" i="2"/>
  <c r="D44" i="2"/>
  <c r="E44" i="2"/>
  <c r="D42" i="2"/>
  <c r="E42" i="2"/>
  <c r="D37" i="2"/>
  <c r="E37" i="2"/>
  <c r="D35" i="2"/>
  <c r="E35" i="2"/>
  <c r="E31" i="2"/>
  <c r="D30" i="2"/>
  <c r="E30" i="2"/>
  <c r="D28" i="2"/>
  <c r="E28" i="2"/>
  <c r="D23" i="2"/>
  <c r="E23" i="2"/>
  <c r="D21" i="2"/>
  <c r="E21" i="2"/>
  <c r="D16" i="2"/>
  <c r="E16" i="2"/>
  <c r="D14" i="2"/>
  <c r="E14" i="2"/>
  <c r="D9" i="2"/>
  <c r="E9" i="2"/>
  <c r="E134" i="2"/>
  <c r="G134" i="2"/>
  <c r="H134" i="2"/>
  <c r="I134" i="2"/>
  <c r="J134" i="2"/>
  <c r="K134" i="2"/>
  <c r="E133" i="2"/>
  <c r="G133" i="2"/>
  <c r="H133" i="2"/>
  <c r="I133" i="2"/>
  <c r="J133" i="2"/>
  <c r="K133" i="2"/>
  <c r="E132" i="2"/>
  <c r="G132" i="2"/>
  <c r="H132" i="2"/>
  <c r="I132" i="2"/>
  <c r="J132" i="2"/>
  <c r="K132" i="2"/>
  <c r="G131" i="2"/>
  <c r="H131" i="2"/>
  <c r="I131" i="2"/>
  <c r="J131" i="2"/>
  <c r="K131" i="2"/>
  <c r="E130" i="2"/>
  <c r="G130" i="2"/>
  <c r="H130" i="2"/>
  <c r="I130" i="2"/>
  <c r="J130" i="2"/>
  <c r="K130" i="2"/>
  <c r="G129" i="2"/>
  <c r="H129" i="2"/>
  <c r="I129" i="2"/>
  <c r="J129" i="2"/>
  <c r="K129" i="2"/>
  <c r="G128" i="2"/>
  <c r="H128" i="2"/>
  <c r="I128" i="2"/>
  <c r="J128" i="2"/>
  <c r="K128" i="2"/>
  <c r="E127" i="2"/>
  <c r="G127" i="2"/>
  <c r="H127" i="2"/>
  <c r="I127" i="2"/>
  <c r="J127" i="2"/>
  <c r="K127" i="2"/>
  <c r="E126" i="2"/>
  <c r="G126" i="2"/>
  <c r="H126" i="2"/>
  <c r="I126" i="2"/>
  <c r="J126" i="2"/>
  <c r="K126" i="2"/>
  <c r="E125" i="2"/>
  <c r="G125" i="2"/>
  <c r="H125" i="2"/>
  <c r="I125" i="2"/>
  <c r="J125" i="2"/>
  <c r="K125" i="2"/>
  <c r="G124" i="2"/>
  <c r="H124" i="2"/>
  <c r="I124" i="2"/>
  <c r="J124" i="2"/>
  <c r="K124" i="2"/>
  <c r="G123" i="2"/>
  <c r="H123" i="2"/>
  <c r="I123" i="2"/>
  <c r="J123" i="2"/>
  <c r="K123" i="2"/>
  <c r="E122" i="2"/>
  <c r="G122" i="2"/>
  <c r="H122" i="2"/>
  <c r="I122" i="2"/>
  <c r="J122" i="2"/>
  <c r="K122" i="2"/>
  <c r="E121" i="2"/>
  <c r="G121" i="2"/>
  <c r="H121" i="2"/>
  <c r="I121" i="2"/>
  <c r="J121" i="2"/>
  <c r="K121" i="2"/>
  <c r="E120" i="2"/>
  <c r="G120" i="2"/>
  <c r="H120" i="2"/>
  <c r="I120" i="2"/>
  <c r="J120" i="2"/>
  <c r="K120" i="2"/>
  <c r="G119" i="2"/>
  <c r="H119" i="2"/>
  <c r="I119" i="2"/>
  <c r="J119" i="2"/>
  <c r="K119" i="2"/>
  <c r="G118" i="2"/>
  <c r="H118" i="2"/>
  <c r="I118" i="2"/>
  <c r="J118" i="2"/>
  <c r="K118" i="2"/>
  <c r="E117" i="2"/>
  <c r="G117" i="2"/>
  <c r="H117" i="2"/>
  <c r="I117" i="2"/>
  <c r="J117" i="2"/>
  <c r="K117" i="2"/>
  <c r="E116" i="2"/>
  <c r="G116" i="2"/>
  <c r="H116" i="2"/>
  <c r="I116" i="2"/>
  <c r="J116" i="2"/>
  <c r="K116" i="2"/>
  <c r="E115" i="2"/>
  <c r="G115" i="2"/>
  <c r="H115" i="2"/>
  <c r="I115" i="2"/>
  <c r="J115" i="2"/>
  <c r="K115" i="2"/>
  <c r="G114" i="2"/>
  <c r="H114" i="2"/>
  <c r="I114" i="2"/>
  <c r="J114" i="2"/>
  <c r="K114" i="2"/>
  <c r="G113" i="2"/>
  <c r="H113" i="2"/>
  <c r="I113" i="2"/>
  <c r="J113" i="2"/>
  <c r="K113" i="2"/>
  <c r="E112" i="2"/>
  <c r="G112" i="2"/>
  <c r="H112" i="2"/>
  <c r="I112" i="2"/>
  <c r="J112" i="2"/>
  <c r="K112" i="2"/>
  <c r="E111" i="2"/>
  <c r="G111" i="2"/>
  <c r="H111" i="2"/>
  <c r="I111" i="2"/>
  <c r="J111" i="2"/>
  <c r="K111" i="2"/>
  <c r="E110" i="2"/>
  <c r="G110" i="2"/>
  <c r="H110" i="2"/>
  <c r="I110" i="2"/>
  <c r="J110" i="2"/>
  <c r="K110" i="2"/>
  <c r="G109" i="2"/>
  <c r="H109" i="2"/>
  <c r="I109" i="2"/>
  <c r="J109" i="2"/>
  <c r="K109" i="2"/>
  <c r="G108" i="2"/>
  <c r="H108" i="2"/>
  <c r="I108" i="2"/>
  <c r="J108" i="2"/>
  <c r="K108" i="2"/>
  <c r="G107" i="2"/>
  <c r="H107" i="2"/>
  <c r="I107" i="2"/>
  <c r="J107" i="2"/>
  <c r="K107" i="2"/>
  <c r="E106" i="2"/>
  <c r="G106" i="2"/>
  <c r="H106" i="2"/>
  <c r="I106" i="2"/>
  <c r="J106" i="2"/>
  <c r="K106" i="2"/>
  <c r="E105" i="2"/>
  <c r="G105" i="2"/>
  <c r="H105" i="2"/>
  <c r="I105" i="2"/>
  <c r="J105" i="2"/>
  <c r="K105" i="2"/>
  <c r="E104" i="2"/>
  <c r="G104" i="2"/>
  <c r="H104" i="2"/>
  <c r="I104" i="2"/>
  <c r="J104" i="2"/>
  <c r="K104" i="2"/>
  <c r="G103" i="2"/>
  <c r="H103" i="2"/>
  <c r="I103" i="2"/>
  <c r="J103" i="2"/>
  <c r="K103" i="2"/>
  <c r="G102" i="2"/>
  <c r="H102" i="2"/>
  <c r="I102" i="2"/>
  <c r="J102" i="2"/>
  <c r="K102" i="2"/>
  <c r="E101" i="2"/>
  <c r="G101" i="2"/>
  <c r="H101" i="2"/>
  <c r="I101" i="2"/>
  <c r="J101" i="2"/>
  <c r="K101" i="2"/>
  <c r="E100" i="2"/>
  <c r="G100" i="2"/>
  <c r="H100" i="2"/>
  <c r="I100" i="2"/>
  <c r="J100" i="2"/>
  <c r="K100" i="2"/>
  <c r="E99" i="2"/>
  <c r="G99" i="2"/>
  <c r="H99" i="2"/>
  <c r="I99" i="2"/>
  <c r="J99" i="2"/>
  <c r="K99" i="2"/>
  <c r="G98" i="2"/>
  <c r="H98" i="2"/>
  <c r="I98" i="2"/>
  <c r="J98" i="2"/>
  <c r="K98" i="2"/>
  <c r="G97" i="2"/>
  <c r="H97" i="2"/>
  <c r="I97" i="2"/>
  <c r="J97" i="2"/>
  <c r="K97" i="2"/>
  <c r="G96" i="2"/>
  <c r="H96" i="2"/>
  <c r="I96" i="2"/>
  <c r="J96" i="2"/>
  <c r="K96" i="2"/>
  <c r="E95" i="2"/>
  <c r="G95" i="2"/>
  <c r="H95" i="2"/>
  <c r="I95" i="2"/>
  <c r="J95" i="2"/>
  <c r="K95" i="2"/>
  <c r="E94" i="2"/>
  <c r="G94" i="2"/>
  <c r="H94" i="2"/>
  <c r="I94" i="2"/>
  <c r="J94" i="2"/>
  <c r="K94" i="2"/>
  <c r="E93" i="2"/>
  <c r="G93" i="2"/>
  <c r="H93" i="2"/>
  <c r="I93" i="2"/>
  <c r="J93" i="2"/>
  <c r="K93" i="2"/>
  <c r="G92" i="2"/>
  <c r="H92" i="2"/>
  <c r="I92" i="2"/>
  <c r="J92" i="2"/>
  <c r="K92" i="2"/>
  <c r="G91" i="2"/>
  <c r="H91" i="2"/>
  <c r="I91" i="2"/>
  <c r="J91" i="2"/>
  <c r="K91" i="2"/>
  <c r="G90" i="2"/>
  <c r="H90" i="2"/>
  <c r="I90" i="2"/>
  <c r="J90" i="2"/>
  <c r="K90" i="2"/>
  <c r="E89" i="2"/>
  <c r="G89" i="2"/>
  <c r="H89" i="2"/>
  <c r="I89" i="2"/>
  <c r="J89" i="2"/>
  <c r="K89" i="2"/>
  <c r="E88" i="2"/>
  <c r="G88" i="2"/>
  <c r="H88" i="2"/>
  <c r="I88" i="2"/>
  <c r="J88" i="2"/>
  <c r="K88" i="2"/>
  <c r="E87" i="2"/>
  <c r="G87" i="2"/>
  <c r="H87" i="2"/>
  <c r="I87" i="2"/>
  <c r="J87" i="2"/>
  <c r="K87" i="2"/>
  <c r="G86" i="2"/>
  <c r="H86" i="2"/>
  <c r="I86" i="2"/>
  <c r="J86" i="2"/>
  <c r="K86" i="2"/>
  <c r="G85" i="2"/>
  <c r="H85" i="2"/>
  <c r="I85" i="2"/>
  <c r="J85" i="2"/>
  <c r="K85" i="2"/>
  <c r="E84" i="2"/>
  <c r="G84" i="2"/>
  <c r="H84" i="2"/>
  <c r="I84" i="2"/>
  <c r="J84" i="2"/>
  <c r="K84" i="2"/>
  <c r="E83" i="2"/>
  <c r="G83" i="2"/>
  <c r="H83" i="2"/>
  <c r="I83" i="2"/>
  <c r="J83" i="2"/>
  <c r="K83" i="2"/>
  <c r="E82" i="2"/>
  <c r="G82" i="2"/>
  <c r="H82" i="2"/>
  <c r="I82" i="2"/>
  <c r="J82" i="2"/>
  <c r="K82" i="2"/>
  <c r="G81" i="2"/>
  <c r="H81" i="2"/>
  <c r="I81" i="2"/>
  <c r="J81" i="2"/>
  <c r="K81" i="2"/>
  <c r="G80" i="2"/>
  <c r="H80" i="2"/>
  <c r="I80" i="2"/>
  <c r="J80" i="2"/>
  <c r="K80" i="2"/>
  <c r="G79" i="2"/>
  <c r="H79" i="2"/>
  <c r="I79" i="2"/>
  <c r="J79" i="2"/>
  <c r="K79" i="2"/>
  <c r="E78" i="2"/>
  <c r="G78" i="2"/>
  <c r="H78" i="2"/>
  <c r="I78" i="2"/>
  <c r="J78" i="2"/>
  <c r="K78" i="2"/>
  <c r="E77" i="2"/>
  <c r="G77" i="2"/>
  <c r="H77" i="2"/>
  <c r="I77" i="2"/>
  <c r="J77" i="2"/>
  <c r="K77" i="2"/>
  <c r="E76" i="2"/>
  <c r="G76" i="2"/>
  <c r="H76" i="2"/>
  <c r="I76" i="2"/>
  <c r="J76" i="2"/>
  <c r="K76" i="2"/>
  <c r="G75" i="2"/>
  <c r="H75" i="2"/>
  <c r="I75" i="2"/>
  <c r="J75" i="2"/>
  <c r="K75" i="2"/>
  <c r="G74" i="2"/>
  <c r="H74" i="2"/>
  <c r="I74" i="2"/>
  <c r="J74" i="2"/>
  <c r="K74" i="2"/>
  <c r="E73" i="2"/>
  <c r="G73" i="2"/>
  <c r="H73" i="2"/>
  <c r="I73" i="2"/>
  <c r="J73" i="2"/>
  <c r="K73" i="2"/>
  <c r="E72" i="2"/>
  <c r="G72" i="2"/>
  <c r="H72" i="2"/>
  <c r="I72" i="2"/>
  <c r="J72" i="2"/>
  <c r="K72" i="2"/>
  <c r="E71" i="2"/>
  <c r="G71" i="2"/>
  <c r="H71" i="2"/>
  <c r="I71" i="2"/>
  <c r="J71" i="2"/>
  <c r="K71" i="2"/>
  <c r="G70" i="2"/>
  <c r="H70" i="2"/>
  <c r="I70" i="2"/>
  <c r="J70" i="2"/>
  <c r="K70" i="2"/>
  <c r="G69" i="2"/>
  <c r="H69" i="2"/>
  <c r="I69" i="2"/>
  <c r="J69" i="2"/>
  <c r="K69" i="2"/>
  <c r="E68" i="2"/>
  <c r="G68" i="2"/>
  <c r="H68" i="2"/>
  <c r="I68" i="2"/>
  <c r="J68" i="2"/>
  <c r="K68" i="2"/>
  <c r="E67" i="2"/>
  <c r="G67" i="2"/>
  <c r="H67" i="2"/>
  <c r="I67" i="2"/>
  <c r="J67" i="2"/>
  <c r="K67" i="2"/>
  <c r="E66" i="2"/>
  <c r="G66" i="2"/>
  <c r="H66" i="2"/>
  <c r="I66" i="2"/>
  <c r="J66" i="2"/>
  <c r="K66" i="2"/>
  <c r="G65" i="2"/>
  <c r="H65" i="2"/>
  <c r="I65" i="2"/>
  <c r="J65" i="2"/>
  <c r="K65" i="2"/>
  <c r="E64" i="2"/>
  <c r="G64" i="2"/>
  <c r="H64" i="2"/>
  <c r="I64" i="2"/>
  <c r="J64" i="2"/>
  <c r="K64" i="2"/>
  <c r="G63" i="2"/>
  <c r="H63" i="2"/>
  <c r="I63" i="2"/>
  <c r="J63" i="2"/>
  <c r="K63" i="2"/>
  <c r="G62" i="2"/>
  <c r="H62" i="2"/>
  <c r="I62" i="2"/>
  <c r="J62" i="2"/>
  <c r="K62" i="2"/>
  <c r="E61" i="2"/>
  <c r="G61" i="2"/>
  <c r="H61" i="2"/>
  <c r="I61" i="2"/>
  <c r="J61" i="2"/>
  <c r="K61" i="2"/>
  <c r="E60" i="2"/>
  <c r="G60" i="2"/>
  <c r="H60" i="2"/>
  <c r="I60" i="2"/>
  <c r="J60" i="2"/>
  <c r="K60" i="2"/>
  <c r="E59" i="2"/>
  <c r="G59" i="2"/>
  <c r="H59" i="2"/>
  <c r="I59" i="2"/>
  <c r="J59" i="2"/>
  <c r="K59" i="2"/>
  <c r="G58" i="2"/>
  <c r="H58" i="2"/>
  <c r="I58" i="2"/>
  <c r="J58" i="2"/>
  <c r="K58" i="2"/>
  <c r="E57" i="2"/>
  <c r="G57" i="2"/>
  <c r="H57" i="2"/>
  <c r="I57" i="2"/>
  <c r="J57" i="2"/>
  <c r="K57" i="2"/>
  <c r="G56" i="2"/>
  <c r="H56" i="2"/>
  <c r="I56" i="2"/>
  <c r="J56" i="2"/>
  <c r="K56" i="2"/>
  <c r="G55" i="2"/>
  <c r="H55" i="2"/>
  <c r="I55" i="2"/>
  <c r="J55" i="2"/>
  <c r="K55" i="2"/>
  <c r="E54" i="2"/>
  <c r="G54" i="2"/>
  <c r="H54" i="2"/>
  <c r="I54" i="2"/>
  <c r="J54" i="2"/>
  <c r="K54" i="2"/>
  <c r="E53" i="2"/>
  <c r="G53" i="2"/>
  <c r="H53" i="2"/>
  <c r="I53" i="2"/>
  <c r="J53" i="2"/>
  <c r="K53" i="2"/>
  <c r="E52" i="2"/>
  <c r="G52" i="2"/>
  <c r="H52" i="2"/>
  <c r="I52" i="2"/>
  <c r="J52" i="2"/>
  <c r="K52" i="2"/>
  <c r="G51" i="2"/>
  <c r="H51" i="2"/>
  <c r="I51" i="2"/>
  <c r="J51" i="2"/>
  <c r="K51" i="2"/>
  <c r="E50" i="2"/>
  <c r="G50" i="2"/>
  <c r="H50" i="2"/>
  <c r="I50" i="2"/>
  <c r="J50" i="2"/>
  <c r="K50" i="2"/>
  <c r="G49" i="2"/>
  <c r="H49" i="2"/>
  <c r="I49" i="2"/>
  <c r="J49" i="2"/>
  <c r="K49" i="2"/>
  <c r="G48" i="2"/>
  <c r="H48" i="2"/>
  <c r="I48" i="2"/>
  <c r="J48" i="2"/>
  <c r="K48" i="2"/>
  <c r="E47" i="2"/>
  <c r="G47" i="2"/>
  <c r="H47" i="2"/>
  <c r="I47" i="2"/>
  <c r="J47" i="2"/>
  <c r="K47" i="2"/>
  <c r="E46" i="2"/>
  <c r="G46" i="2"/>
  <c r="H46" i="2"/>
  <c r="I46" i="2"/>
  <c r="J46" i="2"/>
  <c r="K46" i="2"/>
  <c r="E45" i="2"/>
  <c r="G45" i="2"/>
  <c r="H45" i="2"/>
  <c r="I45" i="2"/>
  <c r="J45" i="2"/>
  <c r="K45" i="2"/>
  <c r="G44" i="2"/>
  <c r="H44" i="2"/>
  <c r="I44" i="2"/>
  <c r="J44" i="2"/>
  <c r="K44" i="2"/>
  <c r="E43" i="2"/>
  <c r="G43" i="2"/>
  <c r="H43" i="2"/>
  <c r="I43" i="2"/>
  <c r="J43" i="2"/>
  <c r="K43" i="2"/>
  <c r="G42" i="2"/>
  <c r="H42" i="2"/>
  <c r="I42" i="2"/>
  <c r="J42" i="2"/>
  <c r="K42" i="2"/>
  <c r="E40" i="2"/>
  <c r="G40" i="2"/>
  <c r="H40" i="2"/>
  <c r="I40" i="2"/>
  <c r="J40" i="2"/>
  <c r="K40" i="2"/>
  <c r="E39" i="2"/>
  <c r="G39" i="2"/>
  <c r="H39" i="2"/>
  <c r="I39" i="2"/>
  <c r="J39" i="2"/>
  <c r="K39" i="2"/>
  <c r="E38" i="2"/>
  <c r="G38" i="2"/>
  <c r="H38" i="2"/>
  <c r="I38" i="2"/>
  <c r="J38" i="2"/>
  <c r="K38" i="2"/>
  <c r="G37" i="2"/>
  <c r="H37" i="2"/>
  <c r="I37" i="2"/>
  <c r="J37" i="2"/>
  <c r="K37" i="2"/>
  <c r="E36" i="2"/>
  <c r="G36" i="2"/>
  <c r="H36" i="2"/>
  <c r="I36" i="2"/>
  <c r="J36" i="2"/>
  <c r="K36" i="2"/>
  <c r="G35" i="2"/>
  <c r="H35" i="2"/>
  <c r="I35" i="2"/>
  <c r="J35" i="2"/>
  <c r="K35" i="2"/>
  <c r="E33" i="2"/>
  <c r="G33" i="2"/>
  <c r="H33" i="2"/>
  <c r="I33" i="2"/>
  <c r="J33" i="2"/>
  <c r="K33" i="2"/>
  <c r="E32" i="2"/>
  <c r="G32" i="2"/>
  <c r="H32" i="2"/>
  <c r="I32" i="2"/>
  <c r="J32" i="2"/>
  <c r="K32" i="2"/>
  <c r="G31" i="2"/>
  <c r="H31" i="2"/>
  <c r="I31" i="2"/>
  <c r="J31" i="2"/>
  <c r="K31" i="2"/>
  <c r="G30" i="2"/>
  <c r="H30" i="2"/>
  <c r="I30" i="2"/>
  <c r="J30" i="2"/>
  <c r="K30" i="2"/>
  <c r="E29" i="2"/>
  <c r="G29" i="2"/>
  <c r="H29" i="2"/>
  <c r="I29" i="2"/>
  <c r="J29" i="2"/>
  <c r="K29" i="2"/>
  <c r="G28" i="2"/>
  <c r="H28" i="2"/>
  <c r="I28" i="2"/>
  <c r="J28" i="2"/>
  <c r="K28" i="2"/>
  <c r="E26" i="2"/>
  <c r="G26" i="2"/>
  <c r="H26" i="2"/>
  <c r="I26" i="2"/>
  <c r="J26" i="2"/>
  <c r="K26" i="2"/>
  <c r="E25" i="2"/>
  <c r="G25" i="2"/>
  <c r="H25" i="2"/>
  <c r="I25" i="2"/>
  <c r="J25" i="2"/>
  <c r="K25" i="2"/>
  <c r="E24" i="2"/>
  <c r="G24" i="2"/>
  <c r="H24" i="2"/>
  <c r="I24" i="2"/>
  <c r="J24" i="2"/>
  <c r="K24" i="2"/>
  <c r="G23" i="2"/>
  <c r="H23" i="2"/>
  <c r="I23" i="2"/>
  <c r="J23" i="2"/>
  <c r="K23" i="2"/>
  <c r="E22" i="2"/>
  <c r="G22" i="2"/>
  <c r="H22" i="2"/>
  <c r="I22" i="2"/>
  <c r="J22" i="2"/>
  <c r="K22" i="2"/>
  <c r="G21" i="2"/>
  <c r="H21" i="2"/>
  <c r="I21" i="2"/>
  <c r="J21" i="2"/>
  <c r="K21" i="2"/>
  <c r="J19" i="2"/>
  <c r="E19" i="2"/>
  <c r="G19" i="2"/>
  <c r="H19" i="2"/>
  <c r="E18" i="2"/>
  <c r="G18" i="2"/>
  <c r="H18" i="2"/>
  <c r="E17" i="2"/>
  <c r="G17" i="2"/>
  <c r="H17" i="2"/>
  <c r="G16" i="2"/>
  <c r="H16" i="2"/>
  <c r="E15" i="2"/>
  <c r="G15" i="2"/>
  <c r="H15" i="2"/>
  <c r="G14" i="2"/>
  <c r="H14" i="2"/>
  <c r="E12" i="2"/>
  <c r="G12" i="2"/>
  <c r="H12" i="2"/>
  <c r="E11" i="2"/>
  <c r="G11" i="2"/>
  <c r="H11" i="2"/>
  <c r="E10" i="2"/>
  <c r="G10" i="2"/>
  <c r="H10" i="2"/>
  <c r="G9" i="2"/>
  <c r="H9" i="2"/>
  <c r="I9" i="2"/>
  <c r="J9" i="2"/>
  <c r="K9" i="2"/>
</calcChain>
</file>

<file path=xl/sharedStrings.xml><?xml version="1.0" encoding="utf-8"?>
<sst xmlns="http://schemas.openxmlformats.org/spreadsheetml/2006/main" count="748" uniqueCount="176">
  <si>
    <t>Date</t>
    <phoneticPr fontId="4" type="noConversion"/>
  </si>
  <si>
    <t>Sample Name</t>
    <phoneticPr fontId="4" type="noConversion"/>
  </si>
  <si>
    <t>vmax</t>
    <phoneticPr fontId="4" type="noConversion"/>
  </si>
  <si>
    <t>nM/cm2</t>
    <phoneticPr fontId="4" type="noConversion"/>
  </si>
  <si>
    <t>(Exp +H) - (MM Con +H)</t>
    <phoneticPr fontId="4" type="noConversion"/>
  </si>
  <si>
    <t>8 Min OD</t>
    <phoneticPr fontId="4" type="noConversion"/>
  </si>
  <si>
    <t>LM WT 165 +H</t>
    <phoneticPr fontId="4" type="noConversion"/>
  </si>
  <si>
    <t>LM WT 165 -H</t>
    <phoneticPr fontId="4" type="noConversion"/>
  </si>
  <si>
    <t>Mild Creb 166 -H</t>
    <phoneticPr fontId="4" type="noConversion"/>
  </si>
  <si>
    <t>MM Con -H</t>
    <phoneticPr fontId="4" type="noConversion"/>
  </si>
  <si>
    <t>16 wk M</t>
    <phoneticPr fontId="4" type="noConversion"/>
  </si>
  <si>
    <t>Mild Creb 168 +H</t>
    <phoneticPr fontId="4" type="noConversion"/>
  </si>
  <si>
    <t>Mild Creb 168 -H</t>
    <phoneticPr fontId="4" type="noConversion"/>
  </si>
  <si>
    <t>LM WT 167 +H</t>
    <phoneticPr fontId="4" type="noConversion"/>
  </si>
  <si>
    <t>LM WT 167 -H</t>
    <phoneticPr fontId="4" type="noConversion"/>
  </si>
  <si>
    <t>MM Con +H</t>
    <phoneticPr fontId="4" type="noConversion"/>
  </si>
  <si>
    <t>20wk F</t>
    <phoneticPr fontId="4" type="noConversion"/>
  </si>
  <si>
    <t>Sev Creb 143 +H</t>
    <phoneticPr fontId="4" type="noConversion"/>
  </si>
  <si>
    <t>Sev Creb 143 -H</t>
    <phoneticPr fontId="4" type="noConversion"/>
  </si>
  <si>
    <t>MM Con -H</t>
    <phoneticPr fontId="4" type="noConversion"/>
  </si>
  <si>
    <t>LM WT 144 +H</t>
    <phoneticPr fontId="4" type="noConversion"/>
  </si>
  <si>
    <t>LM WT 144 -H</t>
    <phoneticPr fontId="4" type="noConversion"/>
  </si>
  <si>
    <t>12 wk F</t>
    <phoneticPr fontId="4" type="noConversion"/>
  </si>
  <si>
    <t>Mild Creb 177 -H</t>
    <phoneticPr fontId="4" type="noConversion"/>
  </si>
  <si>
    <t xml:space="preserve">Mild Creb 177 +H </t>
    <phoneticPr fontId="4" type="noConversion"/>
  </si>
  <si>
    <t>30 minute incubations</t>
    <phoneticPr fontId="4" type="noConversion"/>
  </si>
  <si>
    <t>LM WT 176 +H</t>
    <phoneticPr fontId="4" type="noConversion"/>
  </si>
  <si>
    <t>LM WT 176 -H</t>
    <phoneticPr fontId="4" type="noConversion"/>
  </si>
  <si>
    <t>MM Con -H</t>
    <phoneticPr fontId="4" type="noConversion"/>
  </si>
  <si>
    <t>60 min incubation</t>
    <phoneticPr fontId="4" type="noConversion"/>
  </si>
  <si>
    <t>WT 176 +H</t>
    <phoneticPr fontId="4" type="noConversion"/>
  </si>
  <si>
    <t>WT 176 -H</t>
    <phoneticPr fontId="4" type="noConversion"/>
  </si>
  <si>
    <t>Mm Con -H</t>
    <phoneticPr fontId="4" type="noConversion"/>
  </si>
  <si>
    <t>30min incubation</t>
    <phoneticPr fontId="4" type="noConversion"/>
  </si>
  <si>
    <t>12 wk M</t>
    <phoneticPr fontId="4" type="noConversion"/>
  </si>
  <si>
    <t>Mild Creb 182 +H</t>
    <phoneticPr fontId="4" type="noConversion"/>
  </si>
  <si>
    <t>Mild Creb 182 -H</t>
    <phoneticPr fontId="4" type="noConversion"/>
  </si>
  <si>
    <t>MM Con +H</t>
    <phoneticPr fontId="4" type="noConversion"/>
  </si>
  <si>
    <t>MM Con -H</t>
    <phoneticPr fontId="4" type="noConversion"/>
  </si>
  <si>
    <t>LM WT 183 +H</t>
    <phoneticPr fontId="4" type="noConversion"/>
  </si>
  <si>
    <t>LM WT 183 -H</t>
    <phoneticPr fontId="4" type="noConversion"/>
  </si>
  <si>
    <t>33 wk M</t>
    <phoneticPr fontId="4" type="noConversion"/>
  </si>
  <si>
    <t>30 min inc</t>
    <phoneticPr fontId="4" type="noConversion"/>
  </si>
  <si>
    <t>Res Creb 73 +H</t>
    <phoneticPr fontId="4" type="noConversion"/>
  </si>
  <si>
    <t>Res Creb 73 -H</t>
    <phoneticPr fontId="4" type="noConversion"/>
  </si>
  <si>
    <t>LM WT 80 +H</t>
    <phoneticPr fontId="4" type="noConversion"/>
  </si>
  <si>
    <t>LM WT 80 -H</t>
    <phoneticPr fontId="4" type="noConversion"/>
  </si>
  <si>
    <t>Mm Con +H</t>
    <phoneticPr fontId="4" type="noConversion"/>
  </si>
  <si>
    <t>SEV CREB 971 +H</t>
    <phoneticPr fontId="4" type="noConversion"/>
  </si>
  <si>
    <t>SEV CREB 971 -H</t>
    <phoneticPr fontId="4" type="noConversion"/>
  </si>
  <si>
    <t>LM WT 968 +H</t>
    <phoneticPr fontId="4" type="noConversion"/>
  </si>
  <si>
    <t>LM WT 968 -H</t>
    <phoneticPr fontId="4" type="noConversion"/>
  </si>
  <si>
    <t>MM Con +R</t>
    <phoneticPr fontId="4" type="noConversion"/>
  </si>
  <si>
    <t>MM Con -R</t>
    <phoneticPr fontId="4" type="noConversion"/>
  </si>
  <si>
    <t>SC 972 +H</t>
    <phoneticPr fontId="4" type="noConversion"/>
  </si>
  <si>
    <t>SC 973 -H</t>
    <phoneticPr fontId="4" type="noConversion"/>
  </si>
  <si>
    <t>LM WT 978 +H</t>
    <phoneticPr fontId="4" type="noConversion"/>
  </si>
  <si>
    <t>LM WT 978 -H</t>
    <phoneticPr fontId="4" type="noConversion"/>
  </si>
  <si>
    <t>MM Con +H</t>
    <phoneticPr fontId="4" type="noConversion"/>
  </si>
  <si>
    <t>MM Con -H</t>
    <phoneticPr fontId="4" type="noConversion"/>
  </si>
  <si>
    <t>Sev CREB 7 +H</t>
    <phoneticPr fontId="4" type="noConversion"/>
  </si>
  <si>
    <t>Sev CREB 7 -H</t>
    <phoneticPr fontId="4" type="noConversion"/>
  </si>
  <si>
    <t>WT 9 +H</t>
    <phoneticPr fontId="4" type="noConversion"/>
  </si>
  <si>
    <t>WT 9 -H</t>
    <phoneticPr fontId="4" type="noConversion"/>
  </si>
  <si>
    <t>SEV CREB 998 +H</t>
    <phoneticPr fontId="4" type="noConversion"/>
  </si>
  <si>
    <t>SEV CREB 998 - H</t>
    <phoneticPr fontId="4" type="noConversion"/>
  </si>
  <si>
    <t>LM WT 10 +H</t>
    <phoneticPr fontId="4" type="noConversion"/>
  </si>
  <si>
    <t>LM WT 10 -H</t>
    <phoneticPr fontId="4" type="noConversion"/>
  </si>
  <si>
    <t>Date</t>
    <phoneticPr fontId="4" type="noConversion"/>
  </si>
  <si>
    <t>Sample Name</t>
    <phoneticPr fontId="4" type="noConversion"/>
  </si>
  <si>
    <t>vmax</t>
    <phoneticPr fontId="4" type="noConversion"/>
  </si>
  <si>
    <t>Lag Time</t>
    <phoneticPr fontId="4" type="noConversion"/>
  </si>
  <si>
    <t>Corrected Vmax</t>
    <phoneticPr fontId="4" type="noConversion"/>
  </si>
  <si>
    <t>ng/ml APC</t>
  </si>
  <si>
    <t>fmols/ml</t>
  </si>
  <si>
    <t>pmol/ml</t>
  </si>
  <si>
    <t>pmol/ml/cm2</t>
  </si>
  <si>
    <t>pM/cm2</t>
  </si>
  <si>
    <t>nM/cm2</t>
    <phoneticPr fontId="4" type="noConversion"/>
  </si>
  <si>
    <t>SC Concentrations</t>
    <phoneticPr fontId="4" type="noConversion"/>
  </si>
  <si>
    <t>SEV CREB 908 +R</t>
  </si>
  <si>
    <t>Sev CREB 908 -R</t>
  </si>
  <si>
    <t>MM Con +R</t>
  </si>
  <si>
    <t>MM Con -R</t>
  </si>
  <si>
    <t>SEV CREB 938 +R</t>
  </si>
  <si>
    <t>Sev CREB 938 -R</t>
  </si>
  <si>
    <t>450s</t>
  </si>
  <si>
    <t>LM WT 936 +R</t>
  </si>
  <si>
    <t>1000s</t>
  </si>
  <si>
    <t>LM WT 936 -R</t>
  </si>
  <si>
    <t>509s</t>
  </si>
  <si>
    <t xml:space="preserve">Vmax OD </t>
    <phoneticPr fontId="4" type="noConversion"/>
  </si>
  <si>
    <t>(EXP + H) - (MM +H)</t>
    <phoneticPr fontId="4" type="noConversion"/>
  </si>
  <si>
    <t>(EXP - H) - (MM - H)</t>
    <phoneticPr fontId="4" type="noConversion"/>
  </si>
  <si>
    <t>24wk F</t>
    <phoneticPr fontId="4" type="noConversion"/>
  </si>
  <si>
    <t>12wk F</t>
    <phoneticPr fontId="4" type="noConversion"/>
  </si>
  <si>
    <t>16wk F</t>
    <phoneticPr fontId="4" type="noConversion"/>
  </si>
  <si>
    <t>20wk F</t>
    <phoneticPr fontId="4" type="noConversion"/>
  </si>
  <si>
    <t>32wk F</t>
    <phoneticPr fontId="4" type="noConversion"/>
  </si>
  <si>
    <t xml:space="preserve">46wk M </t>
    <phoneticPr fontId="4" type="noConversion"/>
  </si>
  <si>
    <t>Sev Creb 24 +H</t>
    <phoneticPr fontId="4" type="noConversion"/>
  </si>
  <si>
    <t>Sev Creb 24 -H</t>
    <phoneticPr fontId="4" type="noConversion"/>
  </si>
  <si>
    <t>LM WT 15 +H</t>
    <phoneticPr fontId="4" type="noConversion"/>
  </si>
  <si>
    <t>LM WT 15 -H</t>
    <phoneticPr fontId="4" type="noConversion"/>
  </si>
  <si>
    <t>MM Con +H</t>
    <phoneticPr fontId="4" type="noConversion"/>
  </si>
  <si>
    <t>MM Con - H</t>
    <phoneticPr fontId="4" type="noConversion"/>
  </si>
  <si>
    <t>16 wk M</t>
    <phoneticPr fontId="4" type="noConversion"/>
  </si>
  <si>
    <t>Mild Creb 166 +H</t>
    <phoneticPr fontId="4" type="noConversion"/>
  </si>
  <si>
    <t>8min OD</t>
    <phoneticPr fontId="4" type="noConversion"/>
  </si>
  <si>
    <t>MM Con +H</t>
    <phoneticPr fontId="4" type="noConversion"/>
  </si>
  <si>
    <t>MM Con -H</t>
    <phoneticPr fontId="4" type="noConversion"/>
  </si>
  <si>
    <t>Res Creb 22 +H</t>
    <phoneticPr fontId="4" type="noConversion"/>
  </si>
  <si>
    <t>Res Creb 22 -H</t>
    <phoneticPr fontId="4" type="noConversion"/>
  </si>
  <si>
    <t>45 wk M</t>
    <phoneticPr fontId="4" type="noConversion"/>
  </si>
  <si>
    <t>8 wk F</t>
    <phoneticPr fontId="4" type="noConversion"/>
  </si>
  <si>
    <t>Sev Creb 192 +H</t>
    <phoneticPr fontId="4" type="noConversion"/>
  </si>
  <si>
    <t>Sev Creb 192 -H</t>
    <phoneticPr fontId="4" type="noConversion"/>
  </si>
  <si>
    <t>Mm Con -H</t>
    <phoneticPr fontId="4" type="noConversion"/>
  </si>
  <si>
    <t>20 wk F</t>
    <phoneticPr fontId="4" type="noConversion"/>
  </si>
  <si>
    <t>Sev Creb 142 +H</t>
    <phoneticPr fontId="4" type="noConversion"/>
  </si>
  <si>
    <t>Sev Creb 142 -H</t>
    <phoneticPr fontId="4" type="noConversion"/>
  </si>
  <si>
    <t>Res Creb 95 +H</t>
    <phoneticPr fontId="4" type="noConversion"/>
  </si>
  <si>
    <t>Res Creb 95 -H</t>
    <phoneticPr fontId="4" type="noConversion"/>
  </si>
  <si>
    <t>31wk F</t>
    <phoneticPr fontId="4" type="noConversion"/>
  </si>
  <si>
    <t>3/13/14 MC 166</t>
    <phoneticPr fontId="4" type="noConversion"/>
  </si>
  <si>
    <t>3/13/14 MC 168</t>
    <phoneticPr fontId="4" type="noConversion"/>
  </si>
  <si>
    <t>3/24/14 CR</t>
    <phoneticPr fontId="4" type="noConversion"/>
  </si>
  <si>
    <t>3/24/14 WT</t>
    <phoneticPr fontId="4" type="noConversion"/>
  </si>
  <si>
    <t>3/26/14 MC 182</t>
    <phoneticPr fontId="4" type="noConversion"/>
  </si>
  <si>
    <t>3/26/14 WT</t>
    <phoneticPr fontId="4" type="noConversion"/>
  </si>
  <si>
    <t>3/27/14 Crebs</t>
    <phoneticPr fontId="4" type="noConversion"/>
  </si>
  <si>
    <t>3/27/14 Wt</t>
    <phoneticPr fontId="4" type="noConversion"/>
  </si>
  <si>
    <t>heart weight (g)</t>
  </si>
  <si>
    <t>nM/cm2/heart weight</t>
  </si>
  <si>
    <t>SC 973 +H</t>
  </si>
  <si>
    <t>APC</t>
  </si>
  <si>
    <t>nM/cm2/g</t>
  </si>
  <si>
    <t>WT</t>
  </si>
  <si>
    <t>Mild</t>
  </si>
  <si>
    <t>Sev</t>
  </si>
  <si>
    <t>Res</t>
  </si>
  <si>
    <t>nM/cm2/mg</t>
  </si>
  <si>
    <t>delta nM/cm2 from wt littermate</t>
  </si>
  <si>
    <t>vmax</t>
    <phoneticPr fontId="4" type="noConversion"/>
  </si>
  <si>
    <t>Lag Time</t>
    <phoneticPr fontId="4" type="noConversion"/>
  </si>
  <si>
    <t>Corrected Vmax</t>
    <phoneticPr fontId="4" type="noConversion"/>
  </si>
  <si>
    <t>Delta</t>
    <phoneticPr fontId="4" type="noConversion"/>
  </si>
  <si>
    <t>Sev CREB 961 +R</t>
    <phoneticPr fontId="4" type="noConversion"/>
  </si>
  <si>
    <t>Sev CREB 961 -R</t>
    <phoneticPr fontId="4" type="noConversion"/>
  </si>
  <si>
    <t>808s</t>
    <phoneticPr fontId="4" type="noConversion"/>
  </si>
  <si>
    <t>LM WT 959 +R</t>
    <phoneticPr fontId="4" type="noConversion"/>
  </si>
  <si>
    <t>1604s</t>
    <phoneticPr fontId="4" type="noConversion"/>
  </si>
  <si>
    <t>LM WT 959 -R</t>
    <phoneticPr fontId="4" type="noConversion"/>
  </si>
  <si>
    <t>1320s</t>
    <phoneticPr fontId="4" type="noConversion"/>
  </si>
  <si>
    <t>Mild CREB 942 +R</t>
    <phoneticPr fontId="4" type="noConversion"/>
  </si>
  <si>
    <t>Mild CREB 942 -R</t>
    <phoneticPr fontId="4" type="noConversion"/>
  </si>
  <si>
    <t>631s</t>
    <phoneticPr fontId="4" type="noConversion"/>
  </si>
  <si>
    <t>LM WT 943 +R</t>
    <phoneticPr fontId="4" type="noConversion"/>
  </si>
  <si>
    <t>LM WT 943 -R</t>
    <phoneticPr fontId="4" type="noConversion"/>
  </si>
  <si>
    <t>454s</t>
    <phoneticPr fontId="4" type="noConversion"/>
  </si>
  <si>
    <t>Mild CREB 960 +R</t>
    <phoneticPr fontId="4" type="noConversion"/>
  </si>
  <si>
    <t>Mild CREB 960 -R</t>
    <phoneticPr fontId="4" type="noConversion"/>
  </si>
  <si>
    <t>LM WT 958 +R</t>
    <phoneticPr fontId="4" type="noConversion"/>
  </si>
  <si>
    <t>508s</t>
    <phoneticPr fontId="4" type="noConversion"/>
  </si>
  <si>
    <t>LM WT 958 -R</t>
    <phoneticPr fontId="4" type="noConversion"/>
  </si>
  <si>
    <t>2039s</t>
    <phoneticPr fontId="4" type="noConversion"/>
  </si>
  <si>
    <t>Mild CREB 964 +R</t>
    <phoneticPr fontId="4" type="noConversion"/>
  </si>
  <si>
    <t>Mild CREB 965 -R</t>
    <phoneticPr fontId="4" type="noConversion"/>
  </si>
  <si>
    <t>LM WT 953 +R</t>
    <phoneticPr fontId="4" type="noConversion"/>
  </si>
  <si>
    <t>LM WT 953 -R</t>
    <phoneticPr fontId="4" type="noConversion"/>
  </si>
  <si>
    <t>Sev CREB 913 +R</t>
    <phoneticPr fontId="4" type="noConversion"/>
  </si>
  <si>
    <t>152s</t>
    <phoneticPr fontId="4" type="noConversion"/>
  </si>
  <si>
    <t>Sev CREB 913 -R</t>
    <phoneticPr fontId="4" type="noConversion"/>
  </si>
  <si>
    <t>LM WT 915 +R</t>
    <phoneticPr fontId="4" type="noConversion"/>
  </si>
  <si>
    <t>LM WT 915 -R</t>
    <phoneticPr fontId="4" type="noConversion"/>
  </si>
  <si>
    <t>123s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</si>
</sst>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</font>
    <font>
      <b/>
      <sz val="10"/>
      <color theme="4"/>
      <name val="Verdana"/>
    </font>
    <font>
      <sz val="10"/>
      <color theme="4"/>
      <name val="Verdana"/>
    </font>
    <font>
      <sz val="12"/>
      <name val="Arial"/>
    </font>
    <font>
      <b/>
      <sz val="10"/>
      <color theme="9" tint="-0.249977111117893"/>
      <name val="Verdana"/>
    </font>
    <font>
      <sz val="10"/>
      <color theme="9" tint="-0.249977111117893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0" fontId="12" fillId="0" borderId="0" xfId="0" applyFont="1" applyFill="1"/>
    <xf numFmtId="0" fontId="3" fillId="0" borderId="0" xfId="0" applyFont="1"/>
    <xf numFmtId="0" fontId="1" fillId="0" borderId="0" xfId="0" applyFont="1"/>
  </cellXfs>
  <cellStyles count="3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3/4/13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6470253718285"/>
                  <c:y val="-0.155555555555556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Calc'!$B$7:$B$14</c:f>
              <c:numCache>
                <c:formatCode>General</c:formatCode>
                <c:ptCount val="8"/>
                <c:pt idx="0">
                  <c:v>0.0</c:v>
                </c:pt>
                <c:pt idx="1">
                  <c:v>3.57</c:v>
                </c:pt>
                <c:pt idx="2">
                  <c:v>2.31</c:v>
                </c:pt>
                <c:pt idx="3">
                  <c:v>3.77</c:v>
                </c:pt>
                <c:pt idx="4">
                  <c:v>8.89</c:v>
                </c:pt>
                <c:pt idx="5">
                  <c:v>38.7</c:v>
                </c:pt>
                <c:pt idx="6">
                  <c:v>67.8</c:v>
                </c:pt>
                <c:pt idx="7">
                  <c:v>120.0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693176"/>
        <c:axId val="524143784"/>
      </c:scatterChart>
      <c:valAx>
        <c:axId val="54769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4143784"/>
        <c:crosses val="autoZero"/>
        <c:crossBetween val="midCat"/>
      </c:valAx>
      <c:valAx>
        <c:axId val="524143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693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3/24/14 CR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3703193350831"/>
                  <c:y val="-0.0790066345873432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Calc'!$L$7:$L$14</c:f>
              <c:numCache>
                <c:formatCode>General</c:formatCode>
                <c:ptCount val="8"/>
                <c:pt idx="0">
                  <c:v>0.7</c:v>
                </c:pt>
                <c:pt idx="1">
                  <c:v>2.58</c:v>
                </c:pt>
                <c:pt idx="2">
                  <c:v>4.54</c:v>
                </c:pt>
                <c:pt idx="3">
                  <c:v>8.58</c:v>
                </c:pt>
                <c:pt idx="4">
                  <c:v>17.6</c:v>
                </c:pt>
                <c:pt idx="5">
                  <c:v>49.5</c:v>
                </c:pt>
                <c:pt idx="6">
                  <c:v>88.1</c:v>
                </c:pt>
                <c:pt idx="7">
                  <c:v>149.0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13560"/>
        <c:axId val="515916520"/>
      </c:scatterChart>
      <c:valAx>
        <c:axId val="51591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916520"/>
        <c:crosses val="autoZero"/>
        <c:crossBetween val="midCat"/>
      </c:valAx>
      <c:valAx>
        <c:axId val="515916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913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3/24/14 WT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7858705161855"/>
                  <c:y val="-0.0185185185185185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Calc'!$M$7:$M$14</c:f>
              <c:numCache>
                <c:formatCode>General</c:formatCode>
                <c:ptCount val="8"/>
                <c:pt idx="0">
                  <c:v>-1.3</c:v>
                </c:pt>
                <c:pt idx="1">
                  <c:v>3.34</c:v>
                </c:pt>
                <c:pt idx="2">
                  <c:v>4.46</c:v>
                </c:pt>
                <c:pt idx="3">
                  <c:v>8.58</c:v>
                </c:pt>
                <c:pt idx="4">
                  <c:v>18.3</c:v>
                </c:pt>
                <c:pt idx="5">
                  <c:v>47.7</c:v>
                </c:pt>
                <c:pt idx="6">
                  <c:v>90.0</c:v>
                </c:pt>
                <c:pt idx="7">
                  <c:v>153.0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46088"/>
        <c:axId val="515949048"/>
      </c:scatterChart>
      <c:valAx>
        <c:axId val="51594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949048"/>
        <c:crosses val="autoZero"/>
        <c:crossBetween val="midCat"/>
      </c:valAx>
      <c:valAx>
        <c:axId val="515949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946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3/25/14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7858705161855"/>
                  <c:y val="-0.09583552055993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Calc'!$N$7:$N$14</c:f>
              <c:numCache>
                <c:formatCode>General</c:formatCode>
                <c:ptCount val="8"/>
                <c:pt idx="0">
                  <c:v>1.08</c:v>
                </c:pt>
                <c:pt idx="1">
                  <c:v>2.42</c:v>
                </c:pt>
                <c:pt idx="2">
                  <c:v>3.76</c:v>
                </c:pt>
                <c:pt idx="3">
                  <c:v>8.98</c:v>
                </c:pt>
                <c:pt idx="4">
                  <c:v>14.7</c:v>
                </c:pt>
                <c:pt idx="5">
                  <c:v>43.4</c:v>
                </c:pt>
                <c:pt idx="6">
                  <c:v>93.0</c:v>
                </c:pt>
                <c:pt idx="7">
                  <c:v>137.4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78744"/>
        <c:axId val="515981704"/>
      </c:scatterChart>
      <c:valAx>
        <c:axId val="51597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981704"/>
        <c:crosses val="autoZero"/>
        <c:crossBetween val="midCat"/>
      </c:valAx>
      <c:valAx>
        <c:axId val="515981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978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3/26/14 MC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0636482939632"/>
                  <c:y val="-0.0874540682414698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Calc'!$O$7:$O$14</c:f>
              <c:numCache>
                <c:formatCode>General</c:formatCode>
                <c:ptCount val="8"/>
                <c:pt idx="0">
                  <c:v>-0.2</c:v>
                </c:pt>
                <c:pt idx="1">
                  <c:v>2.46</c:v>
                </c:pt>
                <c:pt idx="2">
                  <c:v>3.96</c:v>
                </c:pt>
                <c:pt idx="3">
                  <c:v>7.98</c:v>
                </c:pt>
                <c:pt idx="4">
                  <c:v>18.9</c:v>
                </c:pt>
                <c:pt idx="5">
                  <c:v>42.6</c:v>
                </c:pt>
                <c:pt idx="6">
                  <c:v>94.8</c:v>
                </c:pt>
                <c:pt idx="7">
                  <c:v>139.0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229704"/>
        <c:axId val="534231544"/>
      </c:scatterChart>
      <c:valAx>
        <c:axId val="53422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231544"/>
        <c:crosses val="autoZero"/>
        <c:crossBetween val="midCat"/>
      </c:valAx>
      <c:valAx>
        <c:axId val="53423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229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3/26/14 WT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2303149606299"/>
                  <c:y val="-0.119534485272674"/>
                </c:manualLayout>
              </c:layout>
              <c:numFmt formatCode="General" sourceLinked="0"/>
            </c:trendlineLbl>
          </c:trendline>
          <c:xVal>
            <c:numRef>
              <c:f>'Rate Vmax Calc'!$A$7:$A$13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'Rate Vmax Calc'!$P$7:$P$13</c:f>
              <c:numCache>
                <c:formatCode>General</c:formatCode>
                <c:ptCount val="7"/>
                <c:pt idx="0">
                  <c:v>-0.3</c:v>
                </c:pt>
                <c:pt idx="1">
                  <c:v>2.38</c:v>
                </c:pt>
                <c:pt idx="2">
                  <c:v>4.36</c:v>
                </c:pt>
                <c:pt idx="3">
                  <c:v>8.7</c:v>
                </c:pt>
                <c:pt idx="4">
                  <c:v>8.8</c:v>
                </c:pt>
                <c:pt idx="5">
                  <c:v>58.0</c:v>
                </c:pt>
                <c:pt idx="6">
                  <c:v>103.0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635096"/>
        <c:axId val="534237240"/>
      </c:scatterChart>
      <c:valAx>
        <c:axId val="48463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237240"/>
        <c:crosses val="autoZero"/>
        <c:crossBetween val="midCat"/>
      </c:valAx>
      <c:valAx>
        <c:axId val="53423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635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3/27/14 Crebs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7036526684164"/>
                  <c:y val="-0.170183362496355"/>
                </c:manualLayout>
              </c:layout>
              <c:numFmt formatCode="General" sourceLinked="0"/>
            </c:trendlineLbl>
          </c:trendline>
          <c:xVal>
            <c:numRef>
              <c:f>'Rate Vmax Calc'!$A$8:$A$14</c:f>
              <c:numCache>
                <c:formatCode>General</c:formatCode>
                <c:ptCount val="7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</c:numCache>
            </c:numRef>
          </c:xVal>
          <c:yVal>
            <c:numRef>
              <c:f>'Rate Vmax Calc'!$Q$8:$Q$14</c:f>
              <c:numCache>
                <c:formatCode>General</c:formatCode>
                <c:ptCount val="7"/>
                <c:pt idx="0">
                  <c:v>1.75</c:v>
                </c:pt>
                <c:pt idx="1">
                  <c:v>4.5</c:v>
                </c:pt>
                <c:pt idx="2">
                  <c:v>9.6</c:v>
                </c:pt>
                <c:pt idx="3">
                  <c:v>16.3</c:v>
                </c:pt>
                <c:pt idx="4">
                  <c:v>40.6</c:v>
                </c:pt>
                <c:pt idx="5">
                  <c:v>87.2</c:v>
                </c:pt>
                <c:pt idx="6">
                  <c:v>146.0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83304"/>
        <c:axId val="548172904"/>
      </c:scatterChart>
      <c:valAx>
        <c:axId val="54828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172904"/>
        <c:crosses val="autoZero"/>
        <c:crossBetween val="midCat"/>
      </c:valAx>
      <c:valAx>
        <c:axId val="548172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283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3/27/14 WT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43495844269466"/>
                  <c:y val="-0.164814814814815"/>
                </c:manualLayout>
              </c:layout>
              <c:numFmt formatCode="General" sourceLinked="0"/>
            </c:trendlineLbl>
          </c:trendline>
          <c:xVal>
            <c:numRef>
              <c:f>'Rate Vmax Calc'!$A$8:$A$15</c:f>
              <c:numCache>
                <c:formatCode>General</c:formatCode>
                <c:ptCount val="8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  <c:pt idx="7">
                  <c:v>3500.0</c:v>
                </c:pt>
              </c:numCache>
            </c:numRef>
          </c:xVal>
          <c:yVal>
            <c:numRef>
              <c:f>'Rate Vmax Calc'!$R$8:$R$15</c:f>
              <c:numCache>
                <c:formatCode>General</c:formatCode>
                <c:ptCount val="8"/>
                <c:pt idx="0">
                  <c:v>1.97</c:v>
                </c:pt>
                <c:pt idx="1">
                  <c:v>3.6</c:v>
                </c:pt>
                <c:pt idx="2">
                  <c:v>7.7</c:v>
                </c:pt>
                <c:pt idx="3">
                  <c:v>15.6</c:v>
                </c:pt>
                <c:pt idx="4">
                  <c:v>58.1</c:v>
                </c:pt>
                <c:pt idx="5">
                  <c:v>95.3</c:v>
                </c:pt>
                <c:pt idx="6">
                  <c:v>144.0</c:v>
                </c:pt>
                <c:pt idx="7">
                  <c:v>209.0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80760"/>
        <c:axId val="548169768"/>
      </c:scatterChart>
      <c:valAx>
        <c:axId val="54818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169768"/>
        <c:crosses val="autoZero"/>
        <c:crossBetween val="midCat"/>
      </c:valAx>
      <c:valAx>
        <c:axId val="548169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180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3/28/14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0636482939632"/>
                  <c:y val="-0.0185185185185185"/>
                </c:manualLayout>
              </c:layout>
              <c:numFmt formatCode="General" sourceLinked="0"/>
            </c:trendlineLbl>
          </c:trendline>
          <c:xVal>
            <c:numRef>
              <c:f>'Rate Vmax Calc'!$A$8:$A$14</c:f>
              <c:numCache>
                <c:formatCode>General</c:formatCode>
                <c:ptCount val="7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</c:numCache>
            </c:numRef>
          </c:xVal>
          <c:yVal>
            <c:numRef>
              <c:f>'Rate Vmax Calc'!$S$8:$S$14</c:f>
              <c:numCache>
                <c:formatCode>General</c:formatCode>
                <c:ptCount val="7"/>
                <c:pt idx="0">
                  <c:v>1.89</c:v>
                </c:pt>
                <c:pt idx="1">
                  <c:v>4.2</c:v>
                </c:pt>
                <c:pt idx="2">
                  <c:v>8.6</c:v>
                </c:pt>
                <c:pt idx="3">
                  <c:v>18.0</c:v>
                </c:pt>
                <c:pt idx="4">
                  <c:v>45.0</c:v>
                </c:pt>
                <c:pt idx="5">
                  <c:v>92.5</c:v>
                </c:pt>
                <c:pt idx="6">
                  <c:v>150.0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3416"/>
        <c:axId val="548275096"/>
      </c:scatterChart>
      <c:valAx>
        <c:axId val="54815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275096"/>
        <c:crosses val="autoZero"/>
        <c:crossBetween val="midCat"/>
      </c:valAx>
      <c:valAx>
        <c:axId val="548275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153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4/24/14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1192038495188"/>
                  <c:y val="-0.0942767570720326"/>
                </c:manualLayout>
              </c:layout>
              <c:numFmt formatCode="General" sourceLinked="0"/>
            </c:trendlineLbl>
          </c:trendline>
          <c:xVal>
            <c:numRef>
              <c:f>'Rate Vmax Calc'!$A$8:$A$13</c:f>
              <c:numCache>
                <c:formatCode>General</c:formatCode>
                <c:ptCount val="6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</c:numCache>
            </c:numRef>
          </c:xVal>
          <c:yVal>
            <c:numRef>
              <c:f>'Rate Vmax Calc'!$T$8:$T$13</c:f>
              <c:numCache>
                <c:formatCode>General</c:formatCode>
                <c:ptCount val="6"/>
                <c:pt idx="0">
                  <c:v>1.9</c:v>
                </c:pt>
                <c:pt idx="1">
                  <c:v>3.6</c:v>
                </c:pt>
                <c:pt idx="2">
                  <c:v>6.8</c:v>
                </c:pt>
                <c:pt idx="3">
                  <c:v>13.7</c:v>
                </c:pt>
                <c:pt idx="4">
                  <c:v>53.6</c:v>
                </c:pt>
                <c:pt idx="5">
                  <c:v>103.0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317720"/>
        <c:axId val="548313160"/>
      </c:scatterChart>
      <c:valAx>
        <c:axId val="54831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313160"/>
        <c:crosses val="autoZero"/>
        <c:crossBetween val="midCat"/>
      </c:valAx>
      <c:valAx>
        <c:axId val="548313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317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4/11/13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6808617672791"/>
                  <c:y val="-0.0231481481481481"/>
                </c:manualLayout>
              </c:layout>
              <c:numFmt formatCode="General" sourceLinked="0"/>
            </c:trendlineLbl>
          </c:trendline>
          <c:xVal>
            <c:numRef>
              <c:f>'8 Min OD'!$B$9:$B$14</c:f>
              <c:numCache>
                <c:formatCode>General</c:formatCode>
                <c:ptCount val="6"/>
                <c:pt idx="0">
                  <c:v>50.0</c:v>
                </c:pt>
                <c:pt idx="1">
                  <c:v>100.0</c:v>
                </c:pt>
                <c:pt idx="2">
                  <c:v>250.0</c:v>
                </c:pt>
                <c:pt idx="3">
                  <c:v>500.0</c:v>
                </c:pt>
                <c:pt idx="4">
                  <c:v>1000.0</c:v>
                </c:pt>
                <c:pt idx="5">
                  <c:v>2000.0</c:v>
                </c:pt>
              </c:numCache>
            </c:numRef>
          </c:xVal>
          <c:yVal>
            <c:numRef>
              <c:f>'8 Min OD'!$E$9:$E$14</c:f>
              <c:numCache>
                <c:formatCode>General</c:formatCode>
                <c:ptCount val="6"/>
                <c:pt idx="0">
                  <c:v>0.01</c:v>
                </c:pt>
                <c:pt idx="1">
                  <c:v>0.03</c:v>
                </c:pt>
                <c:pt idx="2">
                  <c:v>0.1</c:v>
                </c:pt>
                <c:pt idx="3">
                  <c:v>0.22</c:v>
                </c:pt>
                <c:pt idx="4">
                  <c:v>0.4</c:v>
                </c:pt>
                <c:pt idx="5">
                  <c:v>0.65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87400"/>
        <c:axId val="485290360"/>
      </c:scatterChart>
      <c:valAx>
        <c:axId val="48528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290360"/>
        <c:crosses val="autoZero"/>
        <c:crossBetween val="midCat"/>
      </c:valAx>
      <c:valAx>
        <c:axId val="485290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287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3/6/13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6480971128609"/>
                  <c:y val="-0.160430883639545"/>
                </c:manualLayout>
              </c:layout>
              <c:numFmt formatCode="General" sourceLinked="0"/>
            </c:trendlineLbl>
          </c:trendline>
          <c:xVal>
            <c:numRef>
              <c:f>'Rate Vmax Calc'!$A$9:$A$15</c:f>
              <c:numCache>
                <c:formatCode>General</c:formatCode>
                <c:ptCount val="7"/>
                <c:pt idx="0">
                  <c:v>50.0</c:v>
                </c:pt>
                <c:pt idx="1">
                  <c:v>100.0</c:v>
                </c:pt>
                <c:pt idx="2">
                  <c:v>250.0</c:v>
                </c:pt>
                <c:pt idx="3">
                  <c:v>500.0</c:v>
                </c:pt>
                <c:pt idx="4">
                  <c:v>1000.0</c:v>
                </c:pt>
                <c:pt idx="5">
                  <c:v>2000.0</c:v>
                </c:pt>
                <c:pt idx="6">
                  <c:v>3500.0</c:v>
                </c:pt>
              </c:numCache>
            </c:numRef>
          </c:xVal>
          <c:yVal>
            <c:numRef>
              <c:f>'Rate Vmax Calc'!$C$9:$C$15</c:f>
              <c:numCache>
                <c:formatCode>General</c:formatCode>
                <c:ptCount val="7"/>
                <c:pt idx="0">
                  <c:v>0.0</c:v>
                </c:pt>
                <c:pt idx="1">
                  <c:v>2.95</c:v>
                </c:pt>
                <c:pt idx="2">
                  <c:v>7.4</c:v>
                </c:pt>
                <c:pt idx="3">
                  <c:v>27.1</c:v>
                </c:pt>
                <c:pt idx="4">
                  <c:v>44.9</c:v>
                </c:pt>
                <c:pt idx="5">
                  <c:v>86.7</c:v>
                </c:pt>
                <c:pt idx="6">
                  <c:v>128.0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671896"/>
        <c:axId val="547674856"/>
      </c:scatterChart>
      <c:valAx>
        <c:axId val="54767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674856"/>
        <c:crosses val="autoZero"/>
        <c:crossBetween val="midCat"/>
      </c:valAx>
      <c:valAx>
        <c:axId val="547674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671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5/17/13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4586395450569"/>
                  <c:y val="-0.0261311606882473"/>
                </c:manualLayout>
              </c:layout>
              <c:numFmt formatCode="General" sourceLinked="0"/>
            </c:trendlineLbl>
          </c:trendline>
          <c:xVal>
            <c:numRef>
              <c:f>'8 Min OD'!$B$9:$B$14</c:f>
              <c:numCache>
                <c:formatCode>General</c:formatCode>
                <c:ptCount val="6"/>
                <c:pt idx="0">
                  <c:v>50.0</c:v>
                </c:pt>
                <c:pt idx="1">
                  <c:v>100.0</c:v>
                </c:pt>
                <c:pt idx="2">
                  <c:v>250.0</c:v>
                </c:pt>
                <c:pt idx="3">
                  <c:v>500.0</c:v>
                </c:pt>
                <c:pt idx="4">
                  <c:v>1000.0</c:v>
                </c:pt>
                <c:pt idx="5">
                  <c:v>2000.0</c:v>
                </c:pt>
              </c:numCache>
            </c:numRef>
          </c:xVal>
          <c:yVal>
            <c:numRef>
              <c:f>'8 Min OD'!$F$9:$F$14</c:f>
              <c:numCache>
                <c:formatCode>General</c:formatCode>
                <c:ptCount val="6"/>
                <c:pt idx="0">
                  <c:v>0.03</c:v>
                </c:pt>
                <c:pt idx="1">
                  <c:v>0.05</c:v>
                </c:pt>
                <c:pt idx="2">
                  <c:v>0.1</c:v>
                </c:pt>
                <c:pt idx="3">
                  <c:v>0.28</c:v>
                </c:pt>
                <c:pt idx="4">
                  <c:v>0.44</c:v>
                </c:pt>
                <c:pt idx="5">
                  <c:v>0.63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21272"/>
        <c:axId val="485324232"/>
      </c:scatterChart>
      <c:valAx>
        <c:axId val="48532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324232"/>
        <c:crosses val="autoZero"/>
        <c:crossBetween val="midCat"/>
      </c:valAx>
      <c:valAx>
        <c:axId val="485324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21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7/12/13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7069750656168"/>
                  <c:y val="-0.0444965733449985"/>
                </c:manualLayout>
              </c:layout>
              <c:numFmt formatCode="General" sourceLinked="0"/>
            </c:trendlineLbl>
          </c:trendline>
          <c:xVal>
            <c:numRef>
              <c:f>'8 Min OD'!$B$8:$B$13</c:f>
              <c:numCache>
                <c:formatCode>General</c:formatCode>
                <c:ptCount val="6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</c:numCache>
            </c:numRef>
          </c:xVal>
          <c:yVal>
            <c:numRef>
              <c:f>'8 Min OD'!$G$8:$G$13</c:f>
              <c:numCache>
                <c:formatCode>General</c:formatCode>
                <c:ptCount val="6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0.06</c:v>
                </c:pt>
                <c:pt idx="4">
                  <c:v>0.27</c:v>
                </c:pt>
                <c:pt idx="5">
                  <c:v>0.52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02664"/>
        <c:axId val="516205624"/>
      </c:scatterChart>
      <c:valAx>
        <c:axId val="51620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205624"/>
        <c:crosses val="autoZero"/>
        <c:crossBetween val="midCat"/>
      </c:valAx>
      <c:valAx>
        <c:axId val="516205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202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10/4/13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2474409448819"/>
                  <c:y val="-0.146296296296296"/>
                </c:manualLayout>
              </c:layout>
              <c:numFmt formatCode="General" sourceLinked="0"/>
            </c:trendlineLbl>
          </c:trendline>
          <c:xVal>
            <c:numRef>
              <c:f>'8 Min OD'!$B$10:$B$13</c:f>
              <c:numCache>
                <c:formatCode>General</c:formatCode>
                <c:ptCount val="4"/>
                <c:pt idx="0">
                  <c:v>100.0</c:v>
                </c:pt>
                <c:pt idx="1">
                  <c:v>250.0</c:v>
                </c:pt>
                <c:pt idx="2">
                  <c:v>500.0</c:v>
                </c:pt>
                <c:pt idx="3">
                  <c:v>1000.0</c:v>
                </c:pt>
              </c:numCache>
            </c:numRef>
          </c:xVal>
          <c:yVal>
            <c:numRef>
              <c:f>'8 Min OD'!$H$10:$H$13</c:f>
              <c:numCache>
                <c:formatCode>General</c:formatCode>
                <c:ptCount val="4"/>
                <c:pt idx="0">
                  <c:v>0.05</c:v>
                </c:pt>
                <c:pt idx="1">
                  <c:v>0.12</c:v>
                </c:pt>
                <c:pt idx="2">
                  <c:v>0.29</c:v>
                </c:pt>
                <c:pt idx="3">
                  <c:v>0.52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35448"/>
        <c:axId val="516238408"/>
      </c:scatterChart>
      <c:valAx>
        <c:axId val="51623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238408"/>
        <c:crosses val="autoZero"/>
        <c:crossBetween val="midCat"/>
      </c:valAx>
      <c:valAx>
        <c:axId val="51623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235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3/11/14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76135389326334"/>
                  <c:y val="-0.164814814814815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OD'!$I$7:$I$13</c:f>
              <c:numCache>
                <c:formatCode>General</c:formatCode>
                <c:ptCount val="7"/>
                <c:pt idx="0">
                  <c:v>0.11</c:v>
                </c:pt>
                <c:pt idx="1">
                  <c:v>0.14</c:v>
                </c:pt>
                <c:pt idx="2">
                  <c:v>0.17</c:v>
                </c:pt>
                <c:pt idx="3">
                  <c:v>0.2</c:v>
                </c:pt>
                <c:pt idx="4">
                  <c:v>0.26</c:v>
                </c:pt>
                <c:pt idx="5">
                  <c:v>0.55</c:v>
                </c:pt>
                <c:pt idx="6">
                  <c:v>0.78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68632"/>
        <c:axId val="516271592"/>
      </c:scatterChart>
      <c:valAx>
        <c:axId val="51626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271592"/>
        <c:crosses val="autoZero"/>
        <c:crossBetween val="midCat"/>
      </c:valAx>
      <c:valAx>
        <c:axId val="51627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268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3/13/14 MC166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1686789151356"/>
                  <c:y val="-0.0231481481481481"/>
                </c:manualLayout>
              </c:layout>
              <c:numFmt formatCode="General" sourceLinked="0"/>
            </c:trendlineLbl>
          </c:trendline>
          <c:xVal>
            <c:numRef>
              <c:f>'8 Min OD'!$B$8:$B$14</c:f>
              <c:numCache>
                <c:formatCode>General</c:formatCode>
                <c:ptCount val="7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</c:numCache>
            </c:numRef>
          </c:xVal>
          <c:yVal>
            <c:numRef>
              <c:f>'8 Min OD'!$J$8:$J$14</c:f>
              <c:numCache>
                <c:formatCode>General</c:formatCode>
                <c:ptCount val="7"/>
                <c:pt idx="0">
                  <c:v>0.13</c:v>
                </c:pt>
                <c:pt idx="1">
                  <c:v>0.15</c:v>
                </c:pt>
                <c:pt idx="2">
                  <c:v>0.17</c:v>
                </c:pt>
                <c:pt idx="3">
                  <c:v>0.26</c:v>
                </c:pt>
                <c:pt idx="4">
                  <c:v>0.56</c:v>
                </c:pt>
                <c:pt idx="5">
                  <c:v>0.75</c:v>
                </c:pt>
                <c:pt idx="6">
                  <c:v>0.98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01912"/>
        <c:axId val="516304872"/>
      </c:scatterChart>
      <c:valAx>
        <c:axId val="51630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304872"/>
        <c:crosses val="autoZero"/>
        <c:crossBetween val="midCat"/>
      </c:valAx>
      <c:valAx>
        <c:axId val="516304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301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3/13/14 MC 168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9464566929134"/>
                  <c:y val="-0.0138888888888889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OD'!$K$7:$K$13</c:f>
              <c:numCache>
                <c:formatCode>General</c:formatCode>
                <c:ptCount val="7"/>
                <c:pt idx="0">
                  <c:v>0.13</c:v>
                </c:pt>
                <c:pt idx="1">
                  <c:v>0.18</c:v>
                </c:pt>
                <c:pt idx="2">
                  <c:v>0.18</c:v>
                </c:pt>
                <c:pt idx="3">
                  <c:v>0.22</c:v>
                </c:pt>
                <c:pt idx="4">
                  <c:v>0.33</c:v>
                </c:pt>
                <c:pt idx="5">
                  <c:v>0.63</c:v>
                </c:pt>
                <c:pt idx="6">
                  <c:v>0.77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768200"/>
        <c:axId val="484837784"/>
      </c:scatterChart>
      <c:valAx>
        <c:axId val="51676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4837784"/>
        <c:crosses val="autoZero"/>
        <c:crossBetween val="midCat"/>
      </c:valAx>
      <c:valAx>
        <c:axId val="484837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68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3/24/14 CR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47797900262467"/>
                  <c:y val="-0.0385629921259842"/>
                </c:manualLayout>
              </c:layout>
              <c:numFmt formatCode="General" sourceLinked="0"/>
            </c:trendlineLbl>
          </c:trendline>
          <c:xVal>
            <c:numRef>
              <c:f>'8 Min OD'!$B$8:$B$13</c:f>
              <c:numCache>
                <c:formatCode>General</c:formatCode>
                <c:ptCount val="6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</c:numCache>
            </c:numRef>
          </c:xVal>
          <c:yVal>
            <c:numRef>
              <c:f>'8 Min OD'!$L$8:$L$13</c:f>
              <c:numCache>
                <c:formatCode>General</c:formatCode>
                <c:ptCount val="6"/>
                <c:pt idx="0">
                  <c:v>0.15</c:v>
                </c:pt>
                <c:pt idx="1">
                  <c:v>0.2</c:v>
                </c:pt>
                <c:pt idx="2">
                  <c:v>0.2</c:v>
                </c:pt>
                <c:pt idx="3">
                  <c:v>0.28</c:v>
                </c:pt>
                <c:pt idx="4">
                  <c:v>0.51</c:v>
                </c:pt>
                <c:pt idx="5">
                  <c:v>0.74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25976"/>
        <c:axId val="484828936"/>
      </c:scatterChart>
      <c:valAx>
        <c:axId val="48482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4828936"/>
        <c:crosses val="autoZero"/>
        <c:crossBetween val="midCat"/>
      </c:valAx>
      <c:valAx>
        <c:axId val="484828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825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3/24/14 WT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4464566929134"/>
                  <c:y val="-0.0416666666666667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OD'!$M$7:$M$13</c:f>
              <c:numCache>
                <c:formatCode>General</c:formatCode>
                <c:ptCount val="7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0.32</c:v>
                </c:pt>
                <c:pt idx="5">
                  <c:v>0.58</c:v>
                </c:pt>
                <c:pt idx="6">
                  <c:v>0.82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99208"/>
        <c:axId val="484902168"/>
      </c:scatterChart>
      <c:valAx>
        <c:axId val="48489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4902168"/>
        <c:crosses val="autoZero"/>
        <c:crossBetween val="midCat"/>
      </c:valAx>
      <c:valAx>
        <c:axId val="484902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899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3/25/14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76135389326334"/>
                  <c:y val="-0.0736676144648586"/>
                </c:manualLayout>
              </c:layout>
              <c:numFmt formatCode="General" sourceLinked="0"/>
            </c:trendlineLbl>
          </c:trendline>
          <c:xVal>
            <c:numRef>
              <c:f>'8 Min OD'!$B$7:$B$14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'8 Min OD'!$N$7:$N$14</c:f>
              <c:numCache>
                <c:formatCode>General</c:formatCode>
                <c:ptCount val="8"/>
                <c:pt idx="0">
                  <c:v>0.12</c:v>
                </c:pt>
                <c:pt idx="1">
                  <c:v>0.13</c:v>
                </c:pt>
                <c:pt idx="2">
                  <c:v>0.14</c:v>
                </c:pt>
                <c:pt idx="3">
                  <c:v>0.19</c:v>
                </c:pt>
                <c:pt idx="4">
                  <c:v>0.25</c:v>
                </c:pt>
                <c:pt idx="5">
                  <c:v>0.46</c:v>
                </c:pt>
                <c:pt idx="6">
                  <c:v>0.74</c:v>
                </c:pt>
                <c:pt idx="7">
                  <c:v>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32008"/>
        <c:axId val="484934968"/>
      </c:scatterChart>
      <c:valAx>
        <c:axId val="48493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4934968"/>
        <c:crosses val="autoZero"/>
        <c:crossBetween val="midCat"/>
      </c:valAx>
      <c:valAx>
        <c:axId val="484934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932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3/26/14 MC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6686789151356"/>
                  <c:y val="-0.170102435112278"/>
                </c:manualLayout>
              </c:layout>
              <c:numFmt formatCode="General" sourceLinked="0"/>
            </c:trendlineLbl>
          </c:trendline>
          <c:xVal>
            <c:numRef>
              <c:f>'8 Min OD'!$B$7:$B$14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'8 Min OD'!$O$7:$O$14</c:f>
              <c:numCache>
                <c:formatCode>General</c:formatCode>
                <c:ptCount val="8"/>
                <c:pt idx="0">
                  <c:v>0.12</c:v>
                </c:pt>
                <c:pt idx="1">
                  <c:v>0.13</c:v>
                </c:pt>
                <c:pt idx="2">
                  <c:v>0.15</c:v>
                </c:pt>
                <c:pt idx="3">
                  <c:v>0.19</c:v>
                </c:pt>
                <c:pt idx="4">
                  <c:v>0.27</c:v>
                </c:pt>
                <c:pt idx="5">
                  <c:v>0.45</c:v>
                </c:pt>
                <c:pt idx="6">
                  <c:v>0.78</c:v>
                </c:pt>
                <c:pt idx="7">
                  <c:v>0.95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64808"/>
        <c:axId val="516847864"/>
      </c:scatterChart>
      <c:valAx>
        <c:axId val="48496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847864"/>
        <c:crosses val="autoZero"/>
        <c:crossBetween val="midCat"/>
      </c:valAx>
      <c:valAx>
        <c:axId val="516847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964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4/11/13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33573928259"/>
          <c:y val="0.0601851851851852"/>
          <c:w val="0.698286307961505"/>
          <c:h val="0.7996489501312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8048118985127"/>
                  <c:y val="-0.0416666666666667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Calc'!$D$7:$D$14</c:f>
              <c:numCache>
                <c:formatCode>General</c:formatCode>
                <c:ptCount val="8"/>
                <c:pt idx="0">
                  <c:v>0.0</c:v>
                </c:pt>
                <c:pt idx="1">
                  <c:v>1.13</c:v>
                </c:pt>
                <c:pt idx="2">
                  <c:v>2.06</c:v>
                </c:pt>
                <c:pt idx="3">
                  <c:v>4.33</c:v>
                </c:pt>
                <c:pt idx="4">
                  <c:v>10.5</c:v>
                </c:pt>
                <c:pt idx="5">
                  <c:v>29.6</c:v>
                </c:pt>
                <c:pt idx="6">
                  <c:v>55.0</c:v>
                </c:pt>
                <c:pt idx="7">
                  <c:v>103.0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683352"/>
        <c:axId val="547679512"/>
      </c:scatterChart>
      <c:valAx>
        <c:axId val="54768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679512"/>
        <c:crosses val="autoZero"/>
        <c:crossBetween val="midCat"/>
      </c:valAx>
      <c:valAx>
        <c:axId val="547679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683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3/26/14 WT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6686789151356"/>
                  <c:y val="-0.168645377661126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OD'!$P$7:$P$13</c:f>
              <c:numCache>
                <c:formatCode>General</c:formatCode>
                <c:ptCount val="7"/>
                <c:pt idx="0">
                  <c:v>0.12</c:v>
                </c:pt>
                <c:pt idx="1">
                  <c:v>0.14</c:v>
                </c:pt>
                <c:pt idx="2">
                  <c:v>0.16</c:v>
                </c:pt>
                <c:pt idx="3">
                  <c:v>0.2</c:v>
                </c:pt>
                <c:pt idx="4">
                  <c:v>0.2</c:v>
                </c:pt>
                <c:pt idx="5">
                  <c:v>0.58</c:v>
                </c:pt>
                <c:pt idx="6">
                  <c:v>0.83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52360"/>
        <c:axId val="485355320"/>
      </c:scatterChart>
      <c:valAx>
        <c:axId val="48535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355320"/>
        <c:crosses val="autoZero"/>
        <c:crossBetween val="midCat"/>
      </c:valAx>
      <c:valAx>
        <c:axId val="485355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52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3/27/14 CREBS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7246500437445"/>
                  <c:y val="-0.00925925925925926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OD'!$Q$7:$Q$13</c:f>
              <c:numCache>
                <c:formatCode>General</c:formatCode>
                <c:ptCount val="7"/>
                <c:pt idx="0">
                  <c:v>0.12</c:v>
                </c:pt>
                <c:pt idx="1">
                  <c:v>0.14</c:v>
                </c:pt>
                <c:pt idx="2">
                  <c:v>0.16</c:v>
                </c:pt>
                <c:pt idx="3">
                  <c:v>0.19</c:v>
                </c:pt>
                <c:pt idx="4">
                  <c:v>0.27</c:v>
                </c:pt>
                <c:pt idx="5">
                  <c:v>0.45</c:v>
                </c:pt>
                <c:pt idx="6">
                  <c:v>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85032"/>
        <c:axId val="485094648"/>
      </c:scatterChart>
      <c:valAx>
        <c:axId val="48538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94648"/>
        <c:crosses val="autoZero"/>
        <c:crossBetween val="midCat"/>
      </c:valAx>
      <c:valAx>
        <c:axId val="485094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385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3/27/14 WT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669094488189"/>
                  <c:y val="-0.141666666666667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OD'!$R$7:$R$13</c:f>
              <c:numCache>
                <c:formatCode>General</c:formatCode>
                <c:ptCount val="7"/>
                <c:pt idx="0">
                  <c:v>0.14</c:v>
                </c:pt>
                <c:pt idx="1">
                  <c:v>0.16</c:v>
                </c:pt>
                <c:pt idx="2">
                  <c:v>0.21</c:v>
                </c:pt>
                <c:pt idx="3">
                  <c:v>0.23</c:v>
                </c:pt>
                <c:pt idx="4">
                  <c:v>0.31</c:v>
                </c:pt>
                <c:pt idx="5">
                  <c:v>0.56</c:v>
                </c:pt>
                <c:pt idx="6">
                  <c:v>0.81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124504"/>
        <c:axId val="485127464"/>
      </c:scatterChart>
      <c:valAx>
        <c:axId val="48512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127464"/>
        <c:crosses val="autoZero"/>
        <c:crossBetween val="midCat"/>
      </c:valAx>
      <c:valAx>
        <c:axId val="485127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124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3/28/14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4464566929134"/>
                  <c:y val="-0.0185185185185185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OD'!$S$7:$S$13</c:f>
              <c:numCache>
                <c:formatCode>General</c:formatCode>
                <c:ptCount val="7"/>
                <c:pt idx="0">
                  <c:v>0.12</c:v>
                </c:pt>
                <c:pt idx="1">
                  <c:v>0.14</c:v>
                </c:pt>
                <c:pt idx="2">
                  <c:v>0.15</c:v>
                </c:pt>
                <c:pt idx="3">
                  <c:v>0.2</c:v>
                </c:pt>
                <c:pt idx="4">
                  <c:v>0.27</c:v>
                </c:pt>
                <c:pt idx="5">
                  <c:v>0.47</c:v>
                </c:pt>
                <c:pt idx="6">
                  <c:v>0.73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157192"/>
        <c:axId val="485160152"/>
      </c:scatterChart>
      <c:valAx>
        <c:axId val="48515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160152"/>
        <c:crosses val="autoZero"/>
        <c:crossBetween val="midCat"/>
      </c:valAx>
      <c:valAx>
        <c:axId val="485160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157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4/24/14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3150262467192"/>
                  <c:y val="-0.154537037037037"/>
                </c:manualLayout>
              </c:layout>
              <c:numFmt formatCode="General" sourceLinked="0"/>
            </c:trendlineLbl>
          </c:trendline>
          <c:xVal>
            <c:numRef>
              <c:f>'8 Min OD'!$B$7:$B$13</c:f>
              <c:numCache>
                <c:formatCode>General</c:formatCode>
                <c:ptCount val="7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</c:numCache>
            </c:numRef>
          </c:xVal>
          <c:yVal>
            <c:numRef>
              <c:f>'8 Min OD'!$T$7:$T$13</c:f>
              <c:numCache>
                <c:formatCode>General</c:formatCode>
                <c:ptCount val="7"/>
                <c:pt idx="0">
                  <c:v>0.15</c:v>
                </c:pt>
                <c:pt idx="1">
                  <c:v>0.18</c:v>
                </c:pt>
                <c:pt idx="2">
                  <c:v>0.21</c:v>
                </c:pt>
                <c:pt idx="3">
                  <c:v>0.23</c:v>
                </c:pt>
                <c:pt idx="4">
                  <c:v>0.34</c:v>
                </c:pt>
                <c:pt idx="5">
                  <c:v>0.57</c:v>
                </c:pt>
                <c:pt idx="6">
                  <c:v>0.83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190312"/>
        <c:axId val="485193272"/>
      </c:scatterChart>
      <c:valAx>
        <c:axId val="48519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193272"/>
        <c:crosses val="autoZero"/>
        <c:crossBetween val="midCat"/>
      </c:valAx>
      <c:valAx>
        <c:axId val="485193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190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3/4/13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708530183727"/>
                  <c:y val="-0.0231481481481481"/>
                </c:manualLayout>
              </c:layout>
              <c:numFmt formatCode="General" sourceLinked="0"/>
            </c:trendlineLbl>
          </c:trendline>
          <c:xVal>
            <c:numRef>
              <c:f>'8 Min OD'!$B$12:$B$15</c:f>
              <c:numCache>
                <c:formatCode>General</c:formatCode>
                <c:ptCount val="4"/>
                <c:pt idx="0">
                  <c:v>500.0</c:v>
                </c:pt>
                <c:pt idx="1">
                  <c:v>1000.0</c:v>
                </c:pt>
                <c:pt idx="2">
                  <c:v>2000.0</c:v>
                </c:pt>
                <c:pt idx="3">
                  <c:v>3500.0</c:v>
                </c:pt>
              </c:numCache>
            </c:numRef>
          </c:xVal>
          <c:yVal>
            <c:numRef>
              <c:f>'8 Min OD'!$C$12:$C$15</c:f>
              <c:numCache>
                <c:formatCode>General</c:formatCode>
                <c:ptCount val="4"/>
                <c:pt idx="0">
                  <c:v>0.29</c:v>
                </c:pt>
                <c:pt idx="1">
                  <c:v>0.48</c:v>
                </c:pt>
                <c:pt idx="2">
                  <c:v>0.72</c:v>
                </c:pt>
                <c:pt idx="3">
                  <c:v>0.79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23000"/>
        <c:axId val="485225960"/>
      </c:scatterChart>
      <c:valAx>
        <c:axId val="48522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225960"/>
        <c:crosses val="autoZero"/>
        <c:crossBetween val="midCat"/>
      </c:valAx>
      <c:valAx>
        <c:axId val="48522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223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3/6/13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5141951006124"/>
                  <c:y val="-0.0744849081364829"/>
                </c:manualLayout>
              </c:layout>
              <c:numFmt formatCode="General" sourceLinked="0"/>
            </c:trendlineLbl>
          </c:trendline>
          <c:xVal>
            <c:numRef>
              <c:f>'8 Min OD'!$B$12:$B$15</c:f>
              <c:numCache>
                <c:formatCode>General</c:formatCode>
                <c:ptCount val="4"/>
                <c:pt idx="0">
                  <c:v>500.0</c:v>
                </c:pt>
                <c:pt idx="1">
                  <c:v>1000.0</c:v>
                </c:pt>
                <c:pt idx="2">
                  <c:v>2000.0</c:v>
                </c:pt>
                <c:pt idx="3">
                  <c:v>3500.0</c:v>
                </c:pt>
              </c:numCache>
            </c:numRef>
          </c:xVal>
          <c:yVal>
            <c:numRef>
              <c:f>'8 Min OD'!$D$12:$D$15</c:f>
              <c:numCache>
                <c:formatCode>General</c:formatCode>
                <c:ptCount val="4"/>
                <c:pt idx="0">
                  <c:v>0.15</c:v>
                </c:pt>
                <c:pt idx="1">
                  <c:v>0.27</c:v>
                </c:pt>
                <c:pt idx="2">
                  <c:v>0.55</c:v>
                </c:pt>
                <c:pt idx="3">
                  <c:v>0.73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55688"/>
        <c:axId val="485258648"/>
      </c:scatterChart>
      <c:valAx>
        <c:axId val="48525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258648"/>
        <c:crosses val="autoZero"/>
        <c:crossBetween val="midCat"/>
      </c:valAx>
      <c:valAx>
        <c:axId val="485258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255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5/17/13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6480971128609"/>
                  <c:y val="-0.172236074657334"/>
                </c:manualLayout>
              </c:layout>
              <c:numFmt formatCode="General" sourceLinked="0"/>
            </c:trendlineLbl>
          </c:trendline>
          <c:xVal>
            <c:numRef>
              <c:f>'Rate Vmax Calc'!$A$7:$A$15</c:f>
              <c:numCache>
                <c:formatCode>General</c:formatCode>
                <c:ptCount val="9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  <c:pt idx="8">
                  <c:v>3500.0</c:v>
                </c:pt>
              </c:numCache>
            </c:numRef>
          </c:xVal>
          <c:yVal>
            <c:numRef>
              <c:f>'Rate Vmax Calc'!$E$7:$E$15</c:f>
              <c:numCache>
                <c:formatCode>General</c:formatCode>
                <c:ptCount val="9"/>
                <c:pt idx="0">
                  <c:v>0.09</c:v>
                </c:pt>
                <c:pt idx="1">
                  <c:v>1.91</c:v>
                </c:pt>
                <c:pt idx="2">
                  <c:v>3.3</c:v>
                </c:pt>
                <c:pt idx="3">
                  <c:v>6.25</c:v>
                </c:pt>
                <c:pt idx="4">
                  <c:v>13.1</c:v>
                </c:pt>
                <c:pt idx="5">
                  <c:v>38.8</c:v>
                </c:pt>
                <c:pt idx="6">
                  <c:v>63.4</c:v>
                </c:pt>
                <c:pt idx="7">
                  <c:v>102.0</c:v>
                </c:pt>
                <c:pt idx="8">
                  <c:v>143.0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712456"/>
        <c:axId val="547448280"/>
      </c:scatterChart>
      <c:valAx>
        <c:axId val="54771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448280"/>
        <c:crosses val="autoZero"/>
        <c:crossBetween val="midCat"/>
      </c:valAx>
      <c:valAx>
        <c:axId val="547448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712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7/12/13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2858705161855"/>
                  <c:y val="-0.155555555555556"/>
                </c:manualLayout>
              </c:layout>
              <c:numFmt formatCode="General" sourceLinked="0"/>
            </c:trendlineLbl>
          </c:trendline>
          <c:xVal>
            <c:numRef>
              <c:f>'Rate Vmax Calc'!$A$8:$A$14</c:f>
              <c:numCache>
                <c:formatCode>General</c:formatCode>
                <c:ptCount val="7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</c:numCache>
            </c:numRef>
          </c:xVal>
          <c:yVal>
            <c:numRef>
              <c:f>'Rate Vmax Calc'!$G$8:$G$14</c:f>
              <c:numCache>
                <c:formatCode>General</c:formatCode>
                <c:ptCount val="7"/>
                <c:pt idx="0">
                  <c:v>1.47</c:v>
                </c:pt>
                <c:pt idx="1">
                  <c:v>3.11</c:v>
                </c:pt>
                <c:pt idx="2">
                  <c:v>6.7</c:v>
                </c:pt>
                <c:pt idx="3">
                  <c:v>11.2</c:v>
                </c:pt>
                <c:pt idx="4">
                  <c:v>36.6</c:v>
                </c:pt>
                <c:pt idx="5">
                  <c:v>77.7</c:v>
                </c:pt>
                <c:pt idx="6">
                  <c:v>117.0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5784"/>
        <c:axId val="548208744"/>
      </c:scatterChart>
      <c:valAx>
        <c:axId val="54820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208744"/>
        <c:crosses val="autoZero"/>
        <c:crossBetween val="midCat"/>
      </c:valAx>
      <c:valAx>
        <c:axId val="548208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205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10/4/13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6480971128609"/>
                  <c:y val="-0.0231481481481481"/>
                </c:manualLayout>
              </c:layout>
              <c:numFmt formatCode="General" sourceLinked="0"/>
            </c:trendlineLbl>
          </c:trendline>
          <c:xVal>
            <c:numRef>
              <c:f>'Rate Vmax Calc'!$A$7:$A$14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  <c:pt idx="4">
                  <c:v>250.0</c:v>
                </c:pt>
                <c:pt idx="5">
                  <c:v>500.0</c:v>
                </c:pt>
                <c:pt idx="6">
                  <c:v>1000.0</c:v>
                </c:pt>
                <c:pt idx="7">
                  <c:v>2000.0</c:v>
                </c:pt>
              </c:numCache>
            </c:numRef>
          </c:xVal>
          <c:yVal>
            <c:numRef>
              <c:f>'Rate Vmax Calc'!$H$7:$H$14</c:f>
              <c:numCache>
                <c:formatCode>General</c:formatCode>
                <c:ptCount val="8"/>
                <c:pt idx="0">
                  <c:v>0.0</c:v>
                </c:pt>
                <c:pt idx="1">
                  <c:v>1.91</c:v>
                </c:pt>
                <c:pt idx="2">
                  <c:v>3.78</c:v>
                </c:pt>
                <c:pt idx="3">
                  <c:v>8.17</c:v>
                </c:pt>
                <c:pt idx="4">
                  <c:v>18.1</c:v>
                </c:pt>
                <c:pt idx="5">
                  <c:v>40.3</c:v>
                </c:pt>
                <c:pt idx="6">
                  <c:v>78.7</c:v>
                </c:pt>
                <c:pt idx="7">
                  <c:v>131.0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402136"/>
        <c:axId val="534405096"/>
      </c:scatterChart>
      <c:valAx>
        <c:axId val="53440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405096"/>
        <c:crosses val="autoZero"/>
        <c:crossBetween val="midCat"/>
      </c:valAx>
      <c:valAx>
        <c:axId val="534405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402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3/11/14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2858705161855"/>
                  <c:y val="-0.16182669874599"/>
                </c:manualLayout>
              </c:layout>
              <c:numFmt formatCode="General" sourceLinked="0"/>
            </c:trendlineLbl>
          </c:trendline>
          <c:xVal>
            <c:numRef>
              <c:f>'Rate Vmax Calc'!$A$8:$A$14</c:f>
              <c:numCache>
                <c:formatCode>General</c:formatCode>
                <c:ptCount val="7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</c:numCache>
            </c:numRef>
          </c:xVal>
          <c:yVal>
            <c:numRef>
              <c:f>'Rate Vmax Calc'!$I$8:$I$14</c:f>
              <c:numCache>
                <c:formatCode>General</c:formatCode>
                <c:ptCount val="7"/>
                <c:pt idx="0">
                  <c:v>2.7</c:v>
                </c:pt>
                <c:pt idx="1">
                  <c:v>4.4</c:v>
                </c:pt>
                <c:pt idx="2">
                  <c:v>8.82</c:v>
                </c:pt>
                <c:pt idx="3">
                  <c:v>16.0</c:v>
                </c:pt>
                <c:pt idx="4">
                  <c:v>56.3</c:v>
                </c:pt>
                <c:pt idx="5">
                  <c:v>91.6</c:v>
                </c:pt>
                <c:pt idx="6">
                  <c:v>147.6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803784"/>
        <c:axId val="533362744"/>
      </c:scatterChart>
      <c:valAx>
        <c:axId val="53280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362744"/>
        <c:crosses val="autoZero"/>
        <c:crossBetween val="midCat"/>
      </c:valAx>
      <c:valAx>
        <c:axId val="53336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803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3/13/14 CR 166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2303149606299"/>
                  <c:y val="-0.00925925925925926"/>
                </c:manualLayout>
              </c:layout>
              <c:numFmt formatCode="General" sourceLinked="0"/>
            </c:trendlineLbl>
          </c:trendline>
          <c:xVal>
            <c:numRef>
              <c:f>'Rate Vmax Calc'!$A$8:$A$14</c:f>
              <c:numCache>
                <c:formatCode>General</c:formatCode>
                <c:ptCount val="7"/>
                <c:pt idx="0">
                  <c:v>25.0</c:v>
                </c:pt>
                <c:pt idx="1">
                  <c:v>50.0</c:v>
                </c:pt>
                <c:pt idx="2">
                  <c:v>100.0</c:v>
                </c:pt>
                <c:pt idx="3">
                  <c:v>250.0</c:v>
                </c:pt>
                <c:pt idx="4">
                  <c:v>500.0</c:v>
                </c:pt>
                <c:pt idx="5">
                  <c:v>1000.0</c:v>
                </c:pt>
                <c:pt idx="6">
                  <c:v>2000.0</c:v>
                </c:pt>
              </c:numCache>
            </c:numRef>
          </c:xVal>
          <c:yVal>
            <c:numRef>
              <c:f>'Rate Vmax Calc'!$J$8:$J$14</c:f>
              <c:numCache>
                <c:formatCode>General</c:formatCode>
                <c:ptCount val="7"/>
                <c:pt idx="0">
                  <c:v>2.46</c:v>
                </c:pt>
                <c:pt idx="1">
                  <c:v>4.14</c:v>
                </c:pt>
                <c:pt idx="2">
                  <c:v>7.48</c:v>
                </c:pt>
                <c:pt idx="3">
                  <c:v>17.4</c:v>
                </c:pt>
                <c:pt idx="4">
                  <c:v>55.8</c:v>
                </c:pt>
                <c:pt idx="5">
                  <c:v>95.7</c:v>
                </c:pt>
                <c:pt idx="6">
                  <c:v>160.0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31880"/>
        <c:axId val="533934840"/>
      </c:scatterChart>
      <c:valAx>
        <c:axId val="53393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934840"/>
        <c:crosses val="autoZero"/>
        <c:crossBetween val="midCat"/>
      </c:valAx>
      <c:valAx>
        <c:axId val="533934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931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3/13/14 CR 168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44814304461942"/>
                  <c:y val="-0.0252577282006416"/>
                </c:manualLayout>
              </c:layout>
              <c:numFmt formatCode="General" sourceLinked="0"/>
            </c:trendlineLbl>
          </c:trendline>
          <c:xVal>
            <c:numRef>
              <c:f>'Rate Vmax Calc'!$A$9:$A$15</c:f>
              <c:numCache>
                <c:formatCode>General</c:formatCode>
                <c:ptCount val="7"/>
                <c:pt idx="0">
                  <c:v>50.0</c:v>
                </c:pt>
                <c:pt idx="1">
                  <c:v>100.0</c:v>
                </c:pt>
                <c:pt idx="2">
                  <c:v>250.0</c:v>
                </c:pt>
                <c:pt idx="3">
                  <c:v>500.0</c:v>
                </c:pt>
                <c:pt idx="4">
                  <c:v>1000.0</c:v>
                </c:pt>
                <c:pt idx="5">
                  <c:v>2000.0</c:v>
                </c:pt>
                <c:pt idx="6">
                  <c:v>3500.0</c:v>
                </c:pt>
              </c:numCache>
            </c:numRef>
          </c:xVal>
          <c:yVal>
            <c:numRef>
              <c:f>'Rate Vmax Calc'!$K$9:$K$15</c:f>
              <c:numCache>
                <c:formatCode>General</c:formatCode>
                <c:ptCount val="7"/>
                <c:pt idx="0">
                  <c:v>9.68</c:v>
                </c:pt>
                <c:pt idx="1">
                  <c:v>10.8</c:v>
                </c:pt>
                <c:pt idx="2">
                  <c:v>20.1</c:v>
                </c:pt>
                <c:pt idx="3">
                  <c:v>59.0</c:v>
                </c:pt>
                <c:pt idx="4">
                  <c:v>93.0</c:v>
                </c:pt>
                <c:pt idx="5">
                  <c:v>147.0</c:v>
                </c:pt>
                <c:pt idx="6">
                  <c:v>195.0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64344"/>
        <c:axId val="533967304"/>
      </c:scatterChart>
      <c:valAx>
        <c:axId val="53396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967304"/>
        <c:crosses val="autoZero"/>
        <c:crossBetween val="midCat"/>
      </c:valAx>
      <c:valAx>
        <c:axId val="533967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964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9.xml"/><Relationship Id="rId12" Type="http://schemas.openxmlformats.org/officeDocument/2006/relationships/chart" Target="../charts/chart30.xml"/><Relationship Id="rId13" Type="http://schemas.openxmlformats.org/officeDocument/2006/relationships/chart" Target="../charts/chart31.xml"/><Relationship Id="rId14" Type="http://schemas.openxmlformats.org/officeDocument/2006/relationships/chart" Target="../charts/chart32.xml"/><Relationship Id="rId15" Type="http://schemas.openxmlformats.org/officeDocument/2006/relationships/chart" Target="../charts/chart33.xml"/><Relationship Id="rId16" Type="http://schemas.openxmlformats.org/officeDocument/2006/relationships/chart" Target="../charts/chart34.xml"/><Relationship Id="rId17" Type="http://schemas.openxmlformats.org/officeDocument/2006/relationships/chart" Target="../charts/chart35.xml"/><Relationship Id="rId18" Type="http://schemas.openxmlformats.org/officeDocument/2006/relationships/chart" Target="../charts/chart36.xml"/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5" Type="http://schemas.openxmlformats.org/officeDocument/2006/relationships/chart" Target="../charts/chart23.xml"/><Relationship Id="rId6" Type="http://schemas.openxmlformats.org/officeDocument/2006/relationships/chart" Target="../charts/chart24.xml"/><Relationship Id="rId7" Type="http://schemas.openxmlformats.org/officeDocument/2006/relationships/chart" Target="../charts/chart25.xml"/><Relationship Id="rId8" Type="http://schemas.openxmlformats.org/officeDocument/2006/relationships/chart" Target="../charts/chart26.xml"/><Relationship Id="rId9" Type="http://schemas.openxmlformats.org/officeDocument/2006/relationships/chart" Target="../charts/chart27.xml"/><Relationship Id="rId10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317500</xdr:colOff>
      <xdr:row>1</xdr:row>
      <xdr:rowOff>63500</xdr:rowOff>
    </xdr:from>
    <xdr:to>
      <xdr:col>25</xdr:col>
      <xdr:colOff>127000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596900</xdr:colOff>
      <xdr:row>18</xdr:row>
      <xdr:rowOff>152400</xdr:rowOff>
    </xdr:from>
    <xdr:to>
      <xdr:col>20</xdr:col>
      <xdr:colOff>406400</xdr:colOff>
      <xdr:row>35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660400</xdr:colOff>
      <xdr:row>1</xdr:row>
      <xdr:rowOff>88900</xdr:rowOff>
    </xdr:from>
    <xdr:to>
      <xdr:col>30</xdr:col>
      <xdr:colOff>469900</xdr:colOff>
      <xdr:row>18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635000</xdr:colOff>
      <xdr:row>19</xdr:row>
      <xdr:rowOff>25400</xdr:rowOff>
    </xdr:from>
    <xdr:to>
      <xdr:col>25</xdr:col>
      <xdr:colOff>444500</xdr:colOff>
      <xdr:row>35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698500</xdr:colOff>
      <xdr:row>19</xdr:row>
      <xdr:rowOff>25400</xdr:rowOff>
    </xdr:from>
    <xdr:to>
      <xdr:col>30</xdr:col>
      <xdr:colOff>508000</xdr:colOff>
      <xdr:row>35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596900</xdr:colOff>
      <xdr:row>36</xdr:row>
      <xdr:rowOff>76200</xdr:rowOff>
    </xdr:from>
    <xdr:to>
      <xdr:col>20</xdr:col>
      <xdr:colOff>406400</xdr:colOff>
      <xdr:row>53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635000</xdr:colOff>
      <xdr:row>36</xdr:row>
      <xdr:rowOff>114300</xdr:rowOff>
    </xdr:from>
    <xdr:to>
      <xdr:col>25</xdr:col>
      <xdr:colOff>444500</xdr:colOff>
      <xdr:row>53</xdr:row>
      <xdr:rowOff>50800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723900</xdr:colOff>
      <xdr:row>36</xdr:row>
      <xdr:rowOff>114300</xdr:rowOff>
    </xdr:from>
    <xdr:to>
      <xdr:col>30</xdr:col>
      <xdr:colOff>533400</xdr:colOff>
      <xdr:row>53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558800</xdr:colOff>
      <xdr:row>54</xdr:row>
      <xdr:rowOff>127000</xdr:rowOff>
    </xdr:from>
    <xdr:to>
      <xdr:col>20</xdr:col>
      <xdr:colOff>368300</xdr:colOff>
      <xdr:row>71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596900</xdr:colOff>
      <xdr:row>54</xdr:row>
      <xdr:rowOff>139700</xdr:rowOff>
    </xdr:from>
    <xdr:to>
      <xdr:col>25</xdr:col>
      <xdr:colOff>406400</xdr:colOff>
      <xdr:row>71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749300</xdr:colOff>
      <xdr:row>54</xdr:row>
      <xdr:rowOff>25400</xdr:rowOff>
    </xdr:from>
    <xdr:to>
      <xdr:col>30</xdr:col>
      <xdr:colOff>558800</xdr:colOff>
      <xdr:row>70</xdr:row>
      <xdr:rowOff>127000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508000</xdr:colOff>
      <xdr:row>72</xdr:row>
      <xdr:rowOff>76200</xdr:rowOff>
    </xdr:from>
    <xdr:to>
      <xdr:col>20</xdr:col>
      <xdr:colOff>317500</xdr:colOff>
      <xdr:row>89</xdr:row>
      <xdr:rowOff>12700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609600</xdr:colOff>
      <xdr:row>72</xdr:row>
      <xdr:rowOff>139700</xdr:rowOff>
    </xdr:from>
    <xdr:to>
      <xdr:col>25</xdr:col>
      <xdr:colOff>419100</xdr:colOff>
      <xdr:row>89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825500</xdr:colOff>
      <xdr:row>72</xdr:row>
      <xdr:rowOff>50800</xdr:rowOff>
    </xdr:from>
    <xdr:to>
      <xdr:col>30</xdr:col>
      <xdr:colOff>635000</xdr:colOff>
      <xdr:row>88</xdr:row>
      <xdr:rowOff>152400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495300</xdr:colOff>
      <xdr:row>89</xdr:row>
      <xdr:rowOff>152400</xdr:rowOff>
    </xdr:from>
    <xdr:to>
      <xdr:col>20</xdr:col>
      <xdr:colOff>304800</xdr:colOff>
      <xdr:row>106</xdr:row>
      <xdr:rowOff>88900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495300</xdr:colOff>
      <xdr:row>90</xdr:row>
      <xdr:rowOff>25400</xdr:rowOff>
    </xdr:from>
    <xdr:to>
      <xdr:col>25</xdr:col>
      <xdr:colOff>304800</xdr:colOff>
      <xdr:row>106</xdr:row>
      <xdr:rowOff>127000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584200</xdr:colOff>
      <xdr:row>90</xdr:row>
      <xdr:rowOff>12700</xdr:rowOff>
    </xdr:from>
    <xdr:to>
      <xdr:col>30</xdr:col>
      <xdr:colOff>393700</xdr:colOff>
      <xdr:row>106</xdr:row>
      <xdr:rowOff>114300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533400</xdr:colOff>
      <xdr:row>107</xdr:row>
      <xdr:rowOff>25400</xdr:rowOff>
    </xdr:from>
    <xdr:to>
      <xdr:col>20</xdr:col>
      <xdr:colOff>342900</xdr:colOff>
      <xdr:row>123</xdr:row>
      <xdr:rowOff>127000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</xdr:colOff>
      <xdr:row>21</xdr:row>
      <xdr:rowOff>12700</xdr:rowOff>
    </xdr:from>
    <xdr:to>
      <xdr:col>19</xdr:col>
      <xdr:colOff>812800</xdr:colOff>
      <xdr:row>37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12700</xdr:colOff>
      <xdr:row>21</xdr:row>
      <xdr:rowOff>12700</xdr:rowOff>
    </xdr:from>
    <xdr:to>
      <xdr:col>24</xdr:col>
      <xdr:colOff>774700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203200</xdr:colOff>
      <xdr:row>20</xdr:row>
      <xdr:rowOff>114300</xdr:rowOff>
    </xdr:from>
    <xdr:to>
      <xdr:col>30</xdr:col>
      <xdr:colOff>12700</xdr:colOff>
      <xdr:row>37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50800</xdr:colOff>
      <xdr:row>39</xdr:row>
      <xdr:rowOff>101600</xdr:rowOff>
    </xdr:from>
    <xdr:to>
      <xdr:col>19</xdr:col>
      <xdr:colOff>812800</xdr:colOff>
      <xdr:row>56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50800</xdr:colOff>
      <xdr:row>39</xdr:row>
      <xdr:rowOff>152400</xdr:rowOff>
    </xdr:from>
    <xdr:to>
      <xdr:col>24</xdr:col>
      <xdr:colOff>812800</xdr:colOff>
      <xdr:row>56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177800</xdr:colOff>
      <xdr:row>39</xdr:row>
      <xdr:rowOff>127000</xdr:rowOff>
    </xdr:from>
    <xdr:to>
      <xdr:col>29</xdr:col>
      <xdr:colOff>939800</xdr:colOff>
      <xdr:row>56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50800</xdr:colOff>
      <xdr:row>57</xdr:row>
      <xdr:rowOff>50800</xdr:rowOff>
    </xdr:from>
    <xdr:to>
      <xdr:col>19</xdr:col>
      <xdr:colOff>812800</xdr:colOff>
      <xdr:row>73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50800</xdr:colOff>
      <xdr:row>57</xdr:row>
      <xdr:rowOff>50800</xdr:rowOff>
    </xdr:from>
    <xdr:to>
      <xdr:col>24</xdr:col>
      <xdr:colOff>812800</xdr:colOff>
      <xdr:row>73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127000</xdr:colOff>
      <xdr:row>57</xdr:row>
      <xdr:rowOff>50800</xdr:rowOff>
    </xdr:from>
    <xdr:to>
      <xdr:col>29</xdr:col>
      <xdr:colOff>889000</xdr:colOff>
      <xdr:row>73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12700</xdr:colOff>
      <xdr:row>74</xdr:row>
      <xdr:rowOff>152400</xdr:rowOff>
    </xdr:from>
    <xdr:to>
      <xdr:col>19</xdr:col>
      <xdr:colOff>774700</xdr:colOff>
      <xdr:row>91</xdr:row>
      <xdr:rowOff>88900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139700</xdr:colOff>
      <xdr:row>74</xdr:row>
      <xdr:rowOff>152400</xdr:rowOff>
    </xdr:from>
    <xdr:to>
      <xdr:col>24</xdr:col>
      <xdr:colOff>901700</xdr:colOff>
      <xdr:row>91</xdr:row>
      <xdr:rowOff>88900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139700</xdr:colOff>
      <xdr:row>74</xdr:row>
      <xdr:rowOff>152400</xdr:rowOff>
    </xdr:from>
    <xdr:to>
      <xdr:col>29</xdr:col>
      <xdr:colOff>901700</xdr:colOff>
      <xdr:row>91</xdr:row>
      <xdr:rowOff>88900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12700</xdr:colOff>
      <xdr:row>92</xdr:row>
      <xdr:rowOff>88900</xdr:rowOff>
    </xdr:from>
    <xdr:to>
      <xdr:col>19</xdr:col>
      <xdr:colOff>774700</xdr:colOff>
      <xdr:row>109</xdr:row>
      <xdr:rowOff>25400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101600</xdr:colOff>
      <xdr:row>92</xdr:row>
      <xdr:rowOff>76200</xdr:rowOff>
    </xdr:from>
    <xdr:to>
      <xdr:col>24</xdr:col>
      <xdr:colOff>863600</xdr:colOff>
      <xdr:row>109</xdr:row>
      <xdr:rowOff>12700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165100</xdr:colOff>
      <xdr:row>93</xdr:row>
      <xdr:rowOff>0</xdr:rowOff>
    </xdr:from>
    <xdr:to>
      <xdr:col>29</xdr:col>
      <xdr:colOff>927100</xdr:colOff>
      <xdr:row>109</xdr:row>
      <xdr:rowOff>101600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63500</xdr:colOff>
      <xdr:row>109</xdr:row>
      <xdr:rowOff>152400</xdr:rowOff>
    </xdr:from>
    <xdr:to>
      <xdr:col>19</xdr:col>
      <xdr:colOff>825500</xdr:colOff>
      <xdr:row>126</xdr:row>
      <xdr:rowOff>88900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342900</xdr:colOff>
      <xdr:row>3</xdr:row>
      <xdr:rowOff>152400</xdr:rowOff>
    </xdr:from>
    <xdr:to>
      <xdr:col>25</xdr:col>
      <xdr:colOff>152400</xdr:colOff>
      <xdr:row>20</xdr:row>
      <xdr:rowOff>88900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266700</xdr:colOff>
      <xdr:row>3</xdr:row>
      <xdr:rowOff>38100</xdr:rowOff>
    </xdr:from>
    <xdr:to>
      <xdr:col>30</xdr:col>
      <xdr:colOff>76200</xdr:colOff>
      <xdr:row>19</xdr:row>
      <xdr:rowOff>139700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T147"/>
  <sheetViews>
    <sheetView topLeftCell="A6" workbookViewId="0">
      <selection activeCell="A6" sqref="A6:XFD6"/>
    </sheetView>
  </sheetViews>
  <sheetFormatPr baseColWidth="10" defaultRowHeight="13" x14ac:dyDescent="0"/>
  <cols>
    <col min="1" max="1" width="14.5703125" customWidth="1"/>
    <col min="2" max="2" width="17.7109375" customWidth="1"/>
    <col min="10" max="10" width="13" customWidth="1"/>
    <col min="11" max="11" width="13.140625" customWidth="1"/>
    <col min="14" max="14" width="17.7109375" customWidth="1"/>
    <col min="15" max="15" width="19.42578125" customWidth="1"/>
  </cols>
  <sheetData>
    <row r="5" spans="1:20">
      <c r="A5" t="s">
        <v>79</v>
      </c>
      <c r="B5" t="s">
        <v>91</v>
      </c>
    </row>
    <row r="6" spans="1:20">
      <c r="B6" s="1">
        <v>39875</v>
      </c>
      <c r="C6" s="1">
        <v>39877</v>
      </c>
      <c r="D6" s="1">
        <v>39913</v>
      </c>
      <c r="E6" s="1">
        <v>39949</v>
      </c>
      <c r="F6" s="1"/>
      <c r="G6" s="1">
        <v>40005</v>
      </c>
      <c r="H6" s="1">
        <v>40089</v>
      </c>
      <c r="I6" s="1">
        <v>40247</v>
      </c>
      <c r="J6" t="s">
        <v>124</v>
      </c>
      <c r="K6" t="s">
        <v>125</v>
      </c>
      <c r="L6" t="s">
        <v>126</v>
      </c>
      <c r="M6" t="s">
        <v>127</v>
      </c>
      <c r="N6" s="1">
        <v>40261</v>
      </c>
      <c r="O6" t="s">
        <v>128</v>
      </c>
      <c r="P6" t="s">
        <v>129</v>
      </c>
      <c r="Q6" t="s">
        <v>130</v>
      </c>
      <c r="R6" t="s">
        <v>131</v>
      </c>
      <c r="S6" s="1">
        <v>40264</v>
      </c>
      <c r="T6" s="1">
        <v>40291</v>
      </c>
    </row>
    <row r="7" spans="1:20">
      <c r="A7">
        <v>0</v>
      </c>
      <c r="B7">
        <v>0</v>
      </c>
      <c r="D7">
        <v>0</v>
      </c>
      <c r="E7">
        <v>0.09</v>
      </c>
      <c r="G7">
        <v>0</v>
      </c>
      <c r="H7">
        <v>0</v>
      </c>
      <c r="I7">
        <v>-0.1</v>
      </c>
      <c r="J7">
        <v>-1.7</v>
      </c>
      <c r="K7">
        <v>-0.4</v>
      </c>
      <c r="L7">
        <v>0.7</v>
      </c>
      <c r="M7">
        <v>-1.3</v>
      </c>
      <c r="N7">
        <v>1.08</v>
      </c>
      <c r="O7">
        <v>-0.2</v>
      </c>
      <c r="P7">
        <v>-0.3</v>
      </c>
      <c r="Q7">
        <v>-0.7</v>
      </c>
      <c r="R7">
        <v>-0.8</v>
      </c>
      <c r="S7">
        <v>-3.4</v>
      </c>
      <c r="T7">
        <v>1.7</v>
      </c>
    </row>
    <row r="8" spans="1:20">
      <c r="A8">
        <v>25</v>
      </c>
      <c r="B8">
        <v>3.57</v>
      </c>
      <c r="D8">
        <v>1.1299999999999999</v>
      </c>
      <c r="E8">
        <v>1.91</v>
      </c>
      <c r="G8">
        <v>1.47</v>
      </c>
      <c r="H8">
        <v>1.91</v>
      </c>
      <c r="I8">
        <v>2.7</v>
      </c>
      <c r="J8">
        <v>2.46</v>
      </c>
      <c r="K8">
        <v>2.46</v>
      </c>
      <c r="L8">
        <v>2.58</v>
      </c>
      <c r="M8">
        <v>3.34</v>
      </c>
      <c r="N8">
        <v>2.42</v>
      </c>
      <c r="O8">
        <v>2.46</v>
      </c>
      <c r="P8">
        <v>2.38</v>
      </c>
      <c r="Q8">
        <v>1.75</v>
      </c>
      <c r="R8">
        <v>1.97</v>
      </c>
      <c r="S8">
        <v>1.89</v>
      </c>
      <c r="T8">
        <v>1.9</v>
      </c>
    </row>
    <row r="9" spans="1:20">
      <c r="A9">
        <v>50</v>
      </c>
      <c r="B9">
        <v>2.31</v>
      </c>
      <c r="C9">
        <v>0</v>
      </c>
      <c r="D9">
        <v>2.06</v>
      </c>
      <c r="E9">
        <v>3.3</v>
      </c>
      <c r="G9">
        <v>3.11</v>
      </c>
      <c r="H9">
        <v>3.78</v>
      </c>
      <c r="I9">
        <v>4.4000000000000004</v>
      </c>
      <c r="J9">
        <v>4.1399999999999997</v>
      </c>
      <c r="K9">
        <v>9.68</v>
      </c>
      <c r="L9">
        <v>4.54</v>
      </c>
      <c r="M9">
        <v>4.46</v>
      </c>
      <c r="N9">
        <v>3.76</v>
      </c>
      <c r="O9">
        <v>3.96</v>
      </c>
      <c r="P9">
        <v>4.3600000000000003</v>
      </c>
      <c r="Q9">
        <v>4.5</v>
      </c>
      <c r="R9">
        <v>3.6</v>
      </c>
      <c r="S9">
        <v>4.2</v>
      </c>
      <c r="T9">
        <v>3.6</v>
      </c>
    </row>
    <row r="10" spans="1:20">
      <c r="A10">
        <v>100</v>
      </c>
      <c r="B10">
        <v>3.77</v>
      </c>
      <c r="C10">
        <v>2.95</v>
      </c>
      <c r="D10">
        <v>4.33</v>
      </c>
      <c r="E10">
        <v>6.25</v>
      </c>
      <c r="G10">
        <v>6.7</v>
      </c>
      <c r="H10">
        <v>8.17</v>
      </c>
      <c r="I10">
        <v>8.82</v>
      </c>
      <c r="J10">
        <v>7.48</v>
      </c>
      <c r="K10">
        <v>10.8</v>
      </c>
      <c r="L10">
        <v>8.58</v>
      </c>
      <c r="M10">
        <v>8.58</v>
      </c>
      <c r="N10">
        <v>8.98</v>
      </c>
      <c r="O10">
        <v>7.98</v>
      </c>
      <c r="P10">
        <v>8.6999999999999993</v>
      </c>
      <c r="Q10">
        <v>9.6</v>
      </c>
      <c r="R10">
        <v>7.7</v>
      </c>
      <c r="S10">
        <v>8.6</v>
      </c>
      <c r="T10">
        <v>6.8</v>
      </c>
    </row>
    <row r="11" spans="1:20">
      <c r="A11">
        <v>250</v>
      </c>
      <c r="B11">
        <v>8.89</v>
      </c>
      <c r="C11">
        <v>7.4</v>
      </c>
      <c r="D11">
        <v>10.5</v>
      </c>
      <c r="E11">
        <v>13.1</v>
      </c>
      <c r="G11">
        <v>11.2</v>
      </c>
      <c r="H11">
        <v>18.100000000000001</v>
      </c>
      <c r="I11">
        <v>16</v>
      </c>
      <c r="J11">
        <v>17.399999999999999</v>
      </c>
      <c r="K11">
        <v>20.100000000000001</v>
      </c>
      <c r="L11">
        <v>17.600000000000001</v>
      </c>
      <c r="M11">
        <v>18.3</v>
      </c>
      <c r="N11">
        <v>14.7</v>
      </c>
      <c r="O11">
        <v>18.899999999999999</v>
      </c>
      <c r="P11">
        <v>8.8000000000000007</v>
      </c>
      <c r="Q11">
        <v>16.3</v>
      </c>
      <c r="R11">
        <v>15.6</v>
      </c>
      <c r="S11">
        <v>18</v>
      </c>
      <c r="T11">
        <v>13.7</v>
      </c>
    </row>
    <row r="12" spans="1:20">
      <c r="A12">
        <v>500</v>
      </c>
      <c r="B12">
        <v>38.700000000000003</v>
      </c>
      <c r="C12">
        <v>27.1</v>
      </c>
      <c r="D12">
        <v>29.6</v>
      </c>
      <c r="E12">
        <v>38.799999999999997</v>
      </c>
      <c r="G12">
        <v>36.6</v>
      </c>
      <c r="H12">
        <v>40.299999999999997</v>
      </c>
      <c r="I12">
        <v>56.3</v>
      </c>
      <c r="J12">
        <v>55.8</v>
      </c>
      <c r="K12">
        <v>59</v>
      </c>
      <c r="L12">
        <v>49.5</v>
      </c>
      <c r="M12">
        <v>47.7</v>
      </c>
      <c r="N12">
        <v>43.4</v>
      </c>
      <c r="O12">
        <v>42.6</v>
      </c>
      <c r="P12">
        <v>58</v>
      </c>
      <c r="Q12">
        <v>40.6</v>
      </c>
      <c r="R12">
        <v>58.1</v>
      </c>
      <c r="S12">
        <v>45</v>
      </c>
      <c r="T12">
        <v>53.6</v>
      </c>
    </row>
    <row r="13" spans="1:20">
      <c r="A13">
        <v>1000</v>
      </c>
      <c r="B13">
        <v>67.8</v>
      </c>
      <c r="C13">
        <v>44.9</v>
      </c>
      <c r="D13">
        <v>55</v>
      </c>
      <c r="E13">
        <v>63.4</v>
      </c>
      <c r="G13">
        <v>77.7</v>
      </c>
      <c r="H13">
        <v>78.7</v>
      </c>
      <c r="I13">
        <v>91.6</v>
      </c>
      <c r="J13">
        <v>95.7</v>
      </c>
      <c r="K13">
        <v>93</v>
      </c>
      <c r="L13">
        <v>88.1</v>
      </c>
      <c r="M13">
        <v>90</v>
      </c>
      <c r="N13">
        <v>93</v>
      </c>
      <c r="O13">
        <v>94.8</v>
      </c>
      <c r="P13">
        <v>103</v>
      </c>
      <c r="Q13">
        <v>87.2</v>
      </c>
      <c r="R13">
        <v>95.3</v>
      </c>
      <c r="S13">
        <v>92.5</v>
      </c>
      <c r="T13">
        <v>103</v>
      </c>
    </row>
    <row r="14" spans="1:20">
      <c r="A14">
        <v>2000</v>
      </c>
      <c r="B14">
        <v>120</v>
      </c>
      <c r="C14">
        <v>86.7</v>
      </c>
      <c r="D14">
        <v>103</v>
      </c>
      <c r="E14">
        <v>102</v>
      </c>
      <c r="G14">
        <v>117</v>
      </c>
      <c r="H14">
        <v>131</v>
      </c>
      <c r="I14">
        <v>147.6</v>
      </c>
      <c r="J14">
        <v>160</v>
      </c>
      <c r="K14">
        <v>147</v>
      </c>
      <c r="L14">
        <v>149</v>
      </c>
      <c r="M14">
        <v>153</v>
      </c>
      <c r="N14">
        <v>137.4</v>
      </c>
      <c r="O14">
        <v>139</v>
      </c>
      <c r="P14">
        <v>125</v>
      </c>
      <c r="Q14">
        <v>146</v>
      </c>
      <c r="R14">
        <v>144</v>
      </c>
      <c r="S14">
        <v>150</v>
      </c>
      <c r="T14">
        <v>139</v>
      </c>
    </row>
    <row r="15" spans="1:20">
      <c r="A15">
        <v>3500</v>
      </c>
      <c r="C15">
        <v>128</v>
      </c>
      <c r="E15">
        <v>143</v>
      </c>
      <c r="G15">
        <v>115</v>
      </c>
      <c r="H15">
        <v>161</v>
      </c>
      <c r="I15">
        <v>183.1</v>
      </c>
      <c r="J15">
        <v>206</v>
      </c>
      <c r="K15">
        <v>195</v>
      </c>
      <c r="L15">
        <v>179</v>
      </c>
      <c r="M15">
        <v>208</v>
      </c>
      <c r="N15">
        <v>183</v>
      </c>
      <c r="O15">
        <v>179</v>
      </c>
      <c r="P15">
        <v>174</v>
      </c>
      <c r="Q15">
        <v>186</v>
      </c>
      <c r="R15">
        <v>209</v>
      </c>
      <c r="S15">
        <v>205</v>
      </c>
      <c r="T15">
        <v>184</v>
      </c>
    </row>
    <row r="21" spans="1:15">
      <c r="A21" s="2" t="s">
        <v>68</v>
      </c>
      <c r="B21" s="2" t="s">
        <v>69</v>
      </c>
      <c r="C21" s="2" t="s">
        <v>70</v>
      </c>
      <c r="D21" s="2" t="s">
        <v>71</v>
      </c>
      <c r="E21" s="2" t="s">
        <v>72</v>
      </c>
      <c r="F21" s="3"/>
      <c r="G21" s="21" t="s">
        <v>73</v>
      </c>
      <c r="H21" s="21"/>
      <c r="I21" s="2" t="s">
        <v>74</v>
      </c>
      <c r="J21" s="2" t="s">
        <v>75</v>
      </c>
      <c r="K21" s="2" t="s">
        <v>76</v>
      </c>
      <c r="L21" s="2" t="s">
        <v>77</v>
      </c>
      <c r="M21" s="2" t="s">
        <v>78</v>
      </c>
      <c r="N21" s="3" t="s">
        <v>92</v>
      </c>
      <c r="O21" s="3" t="s">
        <v>93</v>
      </c>
    </row>
    <row r="22" spans="1:15">
      <c r="A22" s="1">
        <v>39875</v>
      </c>
      <c r="B22" t="s">
        <v>80</v>
      </c>
      <c r="C22">
        <v>60.800000000000004</v>
      </c>
      <c r="E22">
        <v>60.800000000000004</v>
      </c>
      <c r="G22">
        <f>(E22-0.3647)/0.0617</f>
        <v>979.50243111831458</v>
      </c>
      <c r="I22">
        <f>(G22/(5.9*10^13))*(1*10^15)</f>
        <v>16601.736120649402</v>
      </c>
      <c r="J22">
        <f>I22/1000</f>
        <v>16.601736120649402</v>
      </c>
      <c r="K22">
        <f>J22/0.056</f>
        <v>296.45957358302502</v>
      </c>
      <c r="L22">
        <f>K22*1000</f>
        <v>296459.57358302502</v>
      </c>
      <c r="M22">
        <f>L22/1000</f>
        <v>296.45957358302502</v>
      </c>
      <c r="N22">
        <f>M22-M24</f>
        <v>-167.27428273179987</v>
      </c>
    </row>
    <row r="23" spans="1:15">
      <c r="A23" t="s">
        <v>94</v>
      </c>
      <c r="B23" t="s">
        <v>81</v>
      </c>
      <c r="C23">
        <v>122</v>
      </c>
      <c r="E23">
        <v>122</v>
      </c>
      <c r="G23">
        <f t="shared" ref="G23:G25" si="0">(E23-0.3647)/0.0617</f>
        <v>1971.3987034035658</v>
      </c>
      <c r="I23">
        <f t="shared" ref="I23:I87" si="1">(G23/(5.9*10^13))*(1*10^15)</f>
        <v>33413.537345823148</v>
      </c>
      <c r="J23">
        <f t="shared" ref="J23:J87" si="2">I23/1000</f>
        <v>33.413537345823151</v>
      </c>
      <c r="K23">
        <v>596.67030974684201</v>
      </c>
      <c r="L23">
        <v>596670.30974684202</v>
      </c>
      <c r="M23">
        <v>596.67030974684201</v>
      </c>
      <c r="O23">
        <f>M23-M25</f>
        <v>-313.94586788372999</v>
      </c>
    </row>
    <row r="24" spans="1:15">
      <c r="B24" t="s">
        <v>82</v>
      </c>
      <c r="C24">
        <v>94.9</v>
      </c>
      <c r="E24">
        <v>94.9</v>
      </c>
      <c r="G24">
        <f t="shared" si="0"/>
        <v>1532.1766612641816</v>
      </c>
      <c r="I24">
        <f t="shared" si="1"/>
        <v>25969.095953630196</v>
      </c>
      <c r="J24">
        <f t="shared" si="2"/>
        <v>25.969095953630195</v>
      </c>
      <c r="K24">
        <v>463.73385631482489</v>
      </c>
      <c r="L24">
        <v>463733.85631482489</v>
      </c>
      <c r="M24">
        <v>463.73385631482489</v>
      </c>
    </row>
    <row r="25" spans="1:15">
      <c r="B25" t="s">
        <v>83</v>
      </c>
      <c r="C25">
        <v>186</v>
      </c>
      <c r="E25">
        <v>186</v>
      </c>
      <c r="G25">
        <f t="shared" si="0"/>
        <v>3008.6758508914104</v>
      </c>
      <c r="I25">
        <f t="shared" si="1"/>
        <v>50994.505947312042</v>
      </c>
      <c r="J25">
        <f t="shared" si="2"/>
        <v>50.994505947312042</v>
      </c>
      <c r="K25">
        <v>910.616177630572</v>
      </c>
      <c r="L25">
        <v>910616.177630572</v>
      </c>
      <c r="M25">
        <v>910.616177630572</v>
      </c>
    </row>
    <row r="26" spans="1:15">
      <c r="E26" s="4"/>
      <c r="F26" s="4"/>
      <c r="G26" s="4"/>
      <c r="H26" s="4"/>
      <c r="I26" s="4"/>
      <c r="J26" s="4"/>
      <c r="K26" s="4"/>
      <c r="L26" s="4"/>
      <c r="M26" s="4"/>
    </row>
    <row r="27" spans="1:15">
      <c r="A27" s="1">
        <v>39877</v>
      </c>
      <c r="B27" t="s">
        <v>84</v>
      </c>
      <c r="C27">
        <v>76.099999999999994</v>
      </c>
      <c r="E27">
        <v>76.099999999999994</v>
      </c>
      <c r="G27">
        <f>(E27-2.5473)/0.0377</f>
        <v>1950.9999999999998</v>
      </c>
      <c r="I27">
        <f t="shared" si="1"/>
        <v>33067.796610169491</v>
      </c>
      <c r="J27">
        <f t="shared" si="2"/>
        <v>33.067796610169488</v>
      </c>
      <c r="K27">
        <v>590.4963680387408</v>
      </c>
      <c r="L27">
        <v>590496.36803874094</v>
      </c>
      <c r="M27">
        <v>590.4963680387408</v>
      </c>
      <c r="N27">
        <f>M27-M31</f>
        <v>69.84540882845954</v>
      </c>
    </row>
    <row r="28" spans="1:15">
      <c r="A28" t="s">
        <v>94</v>
      </c>
      <c r="B28" t="s">
        <v>85</v>
      </c>
      <c r="C28">
        <v>154.9</v>
      </c>
      <c r="D28" t="s">
        <v>86</v>
      </c>
      <c r="E28">
        <v>154.9</v>
      </c>
      <c r="G28">
        <f t="shared" ref="G28:G32" si="3">(E28-2.5473)/0.0377</f>
        <v>4041.185676392573</v>
      </c>
      <c r="I28">
        <f t="shared" si="1"/>
        <v>68494.672481230053</v>
      </c>
      <c r="J28">
        <f t="shared" si="2"/>
        <v>68.494672481230054</v>
      </c>
      <c r="K28">
        <v>1223.1191514505372</v>
      </c>
      <c r="L28">
        <v>1223119.1514505399</v>
      </c>
      <c r="M28">
        <v>1223.1191514505372</v>
      </c>
      <c r="O28">
        <f>M28-M32</f>
        <v>-233.6208502193308</v>
      </c>
    </row>
    <row r="29" spans="1:15">
      <c r="B29" t="s">
        <v>87</v>
      </c>
      <c r="C29">
        <v>103.5</v>
      </c>
      <c r="D29" t="s">
        <v>88</v>
      </c>
      <c r="E29">
        <v>103.5</v>
      </c>
      <c r="G29">
        <f t="shared" si="3"/>
        <v>2677.7904509283821</v>
      </c>
      <c r="I29">
        <f t="shared" si="1"/>
        <v>45386.278829294606</v>
      </c>
      <c r="J29">
        <f t="shared" si="2"/>
        <v>45.386278829294604</v>
      </c>
      <c r="K29">
        <v>810.46926480883212</v>
      </c>
      <c r="L29">
        <v>810469.2648088322</v>
      </c>
      <c r="M29">
        <v>810.46926480883212</v>
      </c>
      <c r="N29">
        <f>M29-M31</f>
        <v>289.81830559855086</v>
      </c>
    </row>
    <row r="30" spans="1:15">
      <c r="B30" t="s">
        <v>89</v>
      </c>
      <c r="C30">
        <v>135</v>
      </c>
      <c r="D30" t="s">
        <v>90</v>
      </c>
      <c r="E30">
        <v>135</v>
      </c>
      <c r="G30">
        <f t="shared" si="3"/>
        <v>3513.3342175066314</v>
      </c>
      <c r="I30">
        <f t="shared" si="1"/>
        <v>59548.037584858153</v>
      </c>
      <c r="J30">
        <f t="shared" si="2"/>
        <v>59.54803758485815</v>
      </c>
      <c r="K30">
        <v>1063.3578140153238</v>
      </c>
      <c r="L30">
        <v>1063357.81401532</v>
      </c>
      <c r="M30">
        <v>1063.3578140153238</v>
      </c>
      <c r="O30">
        <f>M30-M32</f>
        <v>-393.38218765454417</v>
      </c>
    </row>
    <row r="31" spans="1:15">
      <c r="B31" t="s">
        <v>82</v>
      </c>
      <c r="C31">
        <v>67.400000000000006</v>
      </c>
      <c r="E31">
        <v>67.400000000000006</v>
      </c>
      <c r="G31">
        <f t="shared" si="3"/>
        <v>1720.2307692307693</v>
      </c>
      <c r="I31">
        <f t="shared" si="1"/>
        <v>29156.453715775755</v>
      </c>
      <c r="J31">
        <f t="shared" si="2"/>
        <v>29.156453715775754</v>
      </c>
      <c r="K31">
        <v>520.65095921028126</v>
      </c>
      <c r="L31">
        <v>520650.95921028132</v>
      </c>
      <c r="M31">
        <v>520.65095921028126</v>
      </c>
    </row>
    <row r="32" spans="1:15">
      <c r="B32" t="s">
        <v>83</v>
      </c>
      <c r="C32">
        <v>184</v>
      </c>
      <c r="E32">
        <v>184</v>
      </c>
      <c r="G32">
        <f t="shared" si="3"/>
        <v>4813.0689655172418</v>
      </c>
      <c r="I32">
        <f t="shared" si="1"/>
        <v>81577.440093512574</v>
      </c>
      <c r="J32">
        <f t="shared" si="2"/>
        <v>81.577440093512578</v>
      </c>
      <c r="K32">
        <v>1456.740001669868</v>
      </c>
      <c r="L32">
        <f>K32*1000</f>
        <v>1456740.0016698679</v>
      </c>
      <c r="M32">
        <v>1456.740001669868</v>
      </c>
    </row>
    <row r="34" spans="1:15">
      <c r="A34" s="1">
        <v>39913</v>
      </c>
      <c r="B34" t="s">
        <v>48</v>
      </c>
      <c r="C34">
        <v>74.84</v>
      </c>
      <c r="E34">
        <v>74.84</v>
      </c>
      <c r="G34">
        <f>(E34-0.0008)/0.0524</f>
        <v>1428.2290076335878</v>
      </c>
      <c r="I34">
        <f t="shared" si="1"/>
        <v>24207.27131582352</v>
      </c>
      <c r="J34">
        <f t="shared" si="2"/>
        <v>24.207271315823519</v>
      </c>
      <c r="K34">
        <f t="shared" ref="K34:K39" si="4">J34/0.056</f>
        <v>432.27270206827711</v>
      </c>
      <c r="L34">
        <f t="shared" ref="L34:L39" si="5">K34*1000</f>
        <v>432272.70206827711</v>
      </c>
      <c r="M34">
        <f t="shared" ref="M34:M39" si="6">L34/1000</f>
        <v>432.27270206827711</v>
      </c>
      <c r="N34">
        <f>M34-M38</f>
        <v>339.2834038777886</v>
      </c>
    </row>
    <row r="35" spans="1:15">
      <c r="A35" t="s">
        <v>95</v>
      </c>
      <c r="B35" t="s">
        <v>49</v>
      </c>
      <c r="C35">
        <v>124.96</v>
      </c>
      <c r="E35">
        <v>124.96</v>
      </c>
      <c r="G35">
        <f t="shared" ref="G35:G39" si="7">(E35-0.0008)/0.0524</f>
        <v>2384.7175572519081</v>
      </c>
      <c r="I35">
        <f t="shared" si="1"/>
        <v>40418.94164833743</v>
      </c>
      <c r="J35">
        <f t="shared" si="2"/>
        <v>40.41894164833743</v>
      </c>
      <c r="K35">
        <f t="shared" si="4"/>
        <v>721.76681514888264</v>
      </c>
      <c r="L35">
        <f t="shared" si="5"/>
        <v>721766.81514888268</v>
      </c>
      <c r="M35">
        <f t="shared" si="6"/>
        <v>721.76681514888264</v>
      </c>
      <c r="O35">
        <f>M35-M39</f>
        <v>-341.0162098220062</v>
      </c>
    </row>
    <row r="36" spans="1:15">
      <c r="B36" t="s">
        <v>50</v>
      </c>
      <c r="C36">
        <v>30.25</v>
      </c>
      <c r="E36">
        <v>30.25</v>
      </c>
      <c r="G36">
        <f t="shared" si="7"/>
        <v>577.27480916030527</v>
      </c>
      <c r="I36">
        <f t="shared" si="1"/>
        <v>9784.3187993272077</v>
      </c>
      <c r="J36">
        <f t="shared" si="2"/>
        <v>9.7843187993272078</v>
      </c>
      <c r="K36">
        <f t="shared" si="4"/>
        <v>174.71997855941441</v>
      </c>
      <c r="L36">
        <f t="shared" si="5"/>
        <v>174719.97855941442</v>
      </c>
      <c r="M36">
        <f t="shared" si="6"/>
        <v>174.71997855941441</v>
      </c>
      <c r="N36">
        <f>M36-M38</f>
        <v>81.730680368925903</v>
      </c>
    </row>
    <row r="37" spans="1:15">
      <c r="B37" t="s">
        <v>51</v>
      </c>
      <c r="C37">
        <v>48.69</v>
      </c>
      <c r="E37">
        <v>48.69</v>
      </c>
      <c r="G37">
        <f t="shared" si="7"/>
        <v>929.18320610687022</v>
      </c>
      <c r="I37">
        <f t="shared" si="1"/>
        <v>15748.867900116446</v>
      </c>
      <c r="J37">
        <f t="shared" si="2"/>
        <v>15.748867900116446</v>
      </c>
      <c r="K37">
        <f t="shared" si="4"/>
        <v>281.2297839306508</v>
      </c>
      <c r="L37">
        <f t="shared" si="5"/>
        <v>281229.7839306508</v>
      </c>
      <c r="M37">
        <f t="shared" si="6"/>
        <v>281.2297839306508</v>
      </c>
      <c r="O37">
        <f>M37-M39</f>
        <v>-781.55324104023805</v>
      </c>
    </row>
    <row r="38" spans="1:15">
      <c r="B38" t="s">
        <v>52</v>
      </c>
      <c r="C38">
        <v>16.100000000000001</v>
      </c>
      <c r="E38">
        <v>16.100000000000001</v>
      </c>
      <c r="G38">
        <f t="shared" si="7"/>
        <v>307.23664122137404</v>
      </c>
      <c r="I38">
        <f t="shared" si="1"/>
        <v>5207.4006986673567</v>
      </c>
      <c r="J38">
        <f t="shared" si="2"/>
        <v>5.2074006986673567</v>
      </c>
      <c r="K38">
        <f t="shared" si="4"/>
        <v>92.989298190488512</v>
      </c>
      <c r="L38">
        <f t="shared" si="5"/>
        <v>92989.298190488509</v>
      </c>
      <c r="M38">
        <f t="shared" si="6"/>
        <v>92.989298190488512</v>
      </c>
    </row>
    <row r="39" spans="1:15">
      <c r="B39" t="s">
        <v>53</v>
      </c>
      <c r="C39">
        <v>184</v>
      </c>
      <c r="E39">
        <v>184</v>
      </c>
      <c r="G39">
        <f t="shared" si="7"/>
        <v>3511.4351145038167</v>
      </c>
      <c r="I39">
        <f t="shared" si="1"/>
        <v>59515.849398369777</v>
      </c>
      <c r="J39">
        <f t="shared" si="2"/>
        <v>59.515849398369774</v>
      </c>
      <c r="K39">
        <f t="shared" si="4"/>
        <v>1062.7830249708888</v>
      </c>
      <c r="L39">
        <f t="shared" si="5"/>
        <v>1062783.0249708889</v>
      </c>
      <c r="M39">
        <f t="shared" si="6"/>
        <v>1062.7830249708888</v>
      </c>
    </row>
    <row r="41" spans="1:15">
      <c r="A41" s="1">
        <v>39949</v>
      </c>
      <c r="B41" t="s">
        <v>54</v>
      </c>
      <c r="C41">
        <v>24.8</v>
      </c>
      <c r="E41">
        <v>24.8</v>
      </c>
      <c r="G41">
        <f>(E41-6.3974)/0.0423</f>
        <v>435.04964539007096</v>
      </c>
      <c r="I41">
        <f t="shared" si="1"/>
        <v>7373.7228032215417</v>
      </c>
      <c r="J41">
        <f t="shared" si="2"/>
        <v>7.3737228032215416</v>
      </c>
      <c r="K41">
        <f t="shared" ref="K41:K46" si="8">J41/0.056</f>
        <v>131.67362148609897</v>
      </c>
      <c r="L41">
        <f t="shared" ref="L41:L46" si="9">K41*1000</f>
        <v>131673.62148609897</v>
      </c>
      <c r="M41">
        <f t="shared" ref="M41:M46" si="10">L41/1000</f>
        <v>131.67362148609897</v>
      </c>
      <c r="N41">
        <f>M41-M45</f>
        <v>93.73264872723945</v>
      </c>
    </row>
    <row r="42" spans="1:15">
      <c r="A42" t="s">
        <v>96</v>
      </c>
      <c r="B42" t="s">
        <v>55</v>
      </c>
      <c r="C42">
        <v>0.09</v>
      </c>
      <c r="E42">
        <v>0.09</v>
      </c>
      <c r="G42">
        <f t="shared" ref="G42:G46" si="11">(E42-6.3974)/0.0423</f>
        <v>-149.11111111111114</v>
      </c>
      <c r="I42">
        <f t="shared" si="1"/>
        <v>-2527.306967984935</v>
      </c>
      <c r="J42">
        <f t="shared" si="2"/>
        <v>-2.5273069679849351</v>
      </c>
      <c r="K42">
        <f t="shared" si="8"/>
        <v>-45.130481571159557</v>
      </c>
      <c r="L42">
        <f t="shared" si="9"/>
        <v>-45130.481571159558</v>
      </c>
      <c r="M42">
        <f t="shared" si="10"/>
        <v>-45.130481571159557</v>
      </c>
      <c r="O42">
        <f>M42-M46</f>
        <v>-1079.7858030097482</v>
      </c>
    </row>
    <row r="43" spans="1:15">
      <c r="B43" t="s">
        <v>56</v>
      </c>
      <c r="C43">
        <v>29.9</v>
      </c>
      <c r="E43">
        <v>29.9</v>
      </c>
      <c r="G43">
        <f t="shared" si="11"/>
        <v>555.61702127659566</v>
      </c>
      <c r="I43">
        <f t="shared" si="1"/>
        <v>9417.2376487558595</v>
      </c>
      <c r="J43">
        <f t="shared" si="2"/>
        <v>9.4172376487558598</v>
      </c>
      <c r="K43">
        <f t="shared" si="8"/>
        <v>168.16495801349748</v>
      </c>
      <c r="L43">
        <f t="shared" si="9"/>
        <v>168164.9580134975</v>
      </c>
      <c r="M43">
        <f t="shared" si="10"/>
        <v>168.16495801349748</v>
      </c>
      <c r="N43">
        <f>M43-M45</f>
        <v>130.22398525463797</v>
      </c>
    </row>
    <row r="44" spans="1:15">
      <c r="B44" t="s">
        <v>57</v>
      </c>
      <c r="C44">
        <v>39.9</v>
      </c>
      <c r="E44">
        <v>39.9</v>
      </c>
      <c r="G44">
        <f t="shared" si="11"/>
        <v>792.02364066193866</v>
      </c>
      <c r="I44">
        <f t="shared" si="1"/>
        <v>13424.129502744723</v>
      </c>
      <c r="J44">
        <f t="shared" si="2"/>
        <v>13.424129502744723</v>
      </c>
      <c r="K44">
        <f t="shared" si="8"/>
        <v>239.71659826329861</v>
      </c>
      <c r="L44">
        <f t="shared" si="9"/>
        <v>239716.5982632986</v>
      </c>
      <c r="M44">
        <f t="shared" si="10"/>
        <v>239.71659826329861</v>
      </c>
      <c r="O44">
        <f>M44-M46</f>
        <v>-794.93872317528997</v>
      </c>
    </row>
    <row r="45" spans="1:15">
      <c r="B45" t="s">
        <v>58</v>
      </c>
      <c r="C45">
        <v>11.7</v>
      </c>
      <c r="E45">
        <v>11.7</v>
      </c>
      <c r="G45">
        <f t="shared" si="11"/>
        <v>125.35697399527186</v>
      </c>
      <c r="I45">
        <f t="shared" si="1"/>
        <v>2124.6944744961334</v>
      </c>
      <c r="J45">
        <f t="shared" si="2"/>
        <v>2.1246944744961334</v>
      </c>
      <c r="K45">
        <f t="shared" si="8"/>
        <v>37.940972758859523</v>
      </c>
      <c r="L45">
        <f t="shared" si="9"/>
        <v>37940.97275885952</v>
      </c>
      <c r="M45">
        <f t="shared" si="10"/>
        <v>37.940972758859523</v>
      </c>
    </row>
    <row r="46" spans="1:15">
      <c r="B46" t="s">
        <v>59</v>
      </c>
      <c r="C46">
        <v>151</v>
      </c>
      <c r="E46">
        <v>151</v>
      </c>
      <c r="G46">
        <f t="shared" si="11"/>
        <v>3418.5011820330969</v>
      </c>
      <c r="I46">
        <f t="shared" si="1"/>
        <v>57940.698000560966</v>
      </c>
      <c r="J46">
        <f t="shared" si="2"/>
        <v>57.940698000560964</v>
      </c>
      <c r="K46">
        <f t="shared" si="8"/>
        <v>1034.6553214385885</v>
      </c>
      <c r="L46">
        <f t="shared" si="9"/>
        <v>1034655.3214385886</v>
      </c>
      <c r="M46">
        <f t="shared" si="10"/>
        <v>1034.6553214385885</v>
      </c>
    </row>
    <row r="48" spans="1:15">
      <c r="A48" s="1">
        <v>40005</v>
      </c>
      <c r="B48" t="s">
        <v>60</v>
      </c>
      <c r="C48">
        <v>48.9</v>
      </c>
      <c r="E48">
        <v>48.9</v>
      </c>
      <c r="G48">
        <f>(E48-1.9161)/0.0612</f>
        <v>767.71078431372553</v>
      </c>
      <c r="I48">
        <f t="shared" si="1"/>
        <v>13012.04719175806</v>
      </c>
      <c r="J48">
        <f t="shared" si="2"/>
        <v>13.012047191758059</v>
      </c>
      <c r="K48">
        <f t="shared" ref="K48:K53" si="12">J48/0.056</f>
        <v>232.35798556710819</v>
      </c>
      <c r="L48">
        <f t="shared" ref="L48:L53" si="13">K48*1000</f>
        <v>232357.98556710818</v>
      </c>
      <c r="M48">
        <f t="shared" ref="M48:M53" si="14">L48/1000</f>
        <v>232.35798556710819</v>
      </c>
      <c r="N48">
        <f>M48-M52</f>
        <v>161.22268116286062</v>
      </c>
    </row>
    <row r="49" spans="1:15">
      <c r="A49" t="s">
        <v>97</v>
      </c>
      <c r="B49" t="s">
        <v>61</v>
      </c>
      <c r="C49">
        <v>38.6</v>
      </c>
      <c r="E49">
        <v>38.6</v>
      </c>
      <c r="G49">
        <f t="shared" ref="G49:G53" si="15">(E49-1.9161)/0.0612</f>
        <v>599.41013071895429</v>
      </c>
      <c r="I49">
        <f t="shared" si="1"/>
        <v>10159.493740999225</v>
      </c>
      <c r="J49">
        <f t="shared" si="2"/>
        <v>10.159493740999226</v>
      </c>
      <c r="K49">
        <f t="shared" si="12"/>
        <v>181.41953108927189</v>
      </c>
      <c r="L49">
        <f t="shared" si="13"/>
        <v>181419.53108927188</v>
      </c>
      <c r="M49">
        <f t="shared" si="14"/>
        <v>181.41953108927189</v>
      </c>
      <c r="O49">
        <f>M49-M53</f>
        <v>-590.4904334615203</v>
      </c>
    </row>
    <row r="50" spans="1:15">
      <c r="B50" t="s">
        <v>62</v>
      </c>
      <c r="C50">
        <v>26.5</v>
      </c>
      <c r="E50">
        <v>26.5</v>
      </c>
      <c r="G50">
        <f t="shared" si="15"/>
        <v>401.69771241830068</v>
      </c>
      <c r="I50">
        <f t="shared" si="1"/>
        <v>6808.435803700012</v>
      </c>
      <c r="J50">
        <f t="shared" si="2"/>
        <v>6.8084358037000117</v>
      </c>
      <c r="K50">
        <f t="shared" si="12"/>
        <v>121.57921078035734</v>
      </c>
      <c r="L50">
        <f t="shared" si="13"/>
        <v>121579.21078035735</v>
      </c>
      <c r="M50">
        <f t="shared" si="14"/>
        <v>121.57921078035734</v>
      </c>
      <c r="N50">
        <f>M50-M52</f>
        <v>50.443906376109766</v>
      </c>
    </row>
    <row r="51" spans="1:15">
      <c r="B51" t="s">
        <v>63</v>
      </c>
      <c r="C51">
        <v>49.2</v>
      </c>
      <c r="E51">
        <v>49.2</v>
      </c>
      <c r="G51">
        <f t="shared" si="15"/>
        <v>772.61274509803934</v>
      </c>
      <c r="I51">
        <f t="shared" si="1"/>
        <v>13095.131272848124</v>
      </c>
      <c r="J51">
        <f t="shared" si="2"/>
        <v>13.095131272848125</v>
      </c>
      <c r="K51">
        <f t="shared" si="12"/>
        <v>233.84162987228794</v>
      </c>
      <c r="L51">
        <f t="shared" si="13"/>
        <v>233841.62987228794</v>
      </c>
      <c r="M51">
        <f t="shared" si="14"/>
        <v>233.84162987228794</v>
      </c>
      <c r="O51">
        <f>M51-M53</f>
        <v>-538.06833467850424</v>
      </c>
    </row>
    <row r="52" spans="1:15">
      <c r="B52" t="s">
        <v>58</v>
      </c>
      <c r="C52">
        <v>16.3</v>
      </c>
      <c r="E52">
        <v>16.3</v>
      </c>
      <c r="G52">
        <f t="shared" si="15"/>
        <v>235.031045751634</v>
      </c>
      <c r="I52">
        <f t="shared" si="1"/>
        <v>3983.5770466378644</v>
      </c>
      <c r="J52">
        <f t="shared" si="2"/>
        <v>3.9835770466378646</v>
      </c>
      <c r="K52">
        <f t="shared" si="12"/>
        <v>71.135304404247577</v>
      </c>
      <c r="L52">
        <f t="shared" si="13"/>
        <v>71135.304404247581</v>
      </c>
      <c r="M52">
        <f t="shared" si="14"/>
        <v>71.135304404247577</v>
      </c>
    </row>
    <row r="53" spans="1:15">
      <c r="B53" t="s">
        <v>59</v>
      </c>
      <c r="C53">
        <v>158</v>
      </c>
      <c r="E53">
        <v>158</v>
      </c>
      <c r="G53">
        <f t="shared" si="15"/>
        <v>2550.3905228758172</v>
      </c>
      <c r="I53">
        <f t="shared" si="1"/>
        <v>43226.958014844364</v>
      </c>
      <c r="J53">
        <f t="shared" si="2"/>
        <v>43.226958014844364</v>
      </c>
      <c r="K53">
        <f t="shared" si="12"/>
        <v>771.90996455079221</v>
      </c>
      <c r="L53">
        <f t="shared" si="13"/>
        <v>771909.96455079224</v>
      </c>
      <c r="M53">
        <f t="shared" si="14"/>
        <v>771.90996455079221</v>
      </c>
    </row>
    <row r="55" spans="1:15">
      <c r="A55" s="1">
        <v>40089</v>
      </c>
      <c r="B55" t="s">
        <v>64</v>
      </c>
      <c r="C55">
        <v>49.4</v>
      </c>
      <c r="E55">
        <v>49.4</v>
      </c>
      <c r="G55">
        <f>(E55-2.3302)/0.0671</f>
        <v>701.48733233979135</v>
      </c>
      <c r="I55">
        <f t="shared" si="1"/>
        <v>11889.615802369344</v>
      </c>
      <c r="J55">
        <f t="shared" si="2"/>
        <v>11.889615802369343</v>
      </c>
      <c r="K55">
        <f t="shared" ref="K55:K118" si="16">J55/0.056</f>
        <v>212.31456789945256</v>
      </c>
      <c r="L55">
        <f t="shared" ref="L55:L118" si="17">K55*1000</f>
        <v>212314.56789945255</v>
      </c>
      <c r="M55">
        <f t="shared" ref="M55:M118" si="18">L55/1000</f>
        <v>212.31456789945256</v>
      </c>
      <c r="N55">
        <f>M55-M59</f>
        <v>218.3146112015242</v>
      </c>
    </row>
    <row r="56" spans="1:15">
      <c r="A56" t="s">
        <v>98</v>
      </c>
      <c r="B56" t="s">
        <v>65</v>
      </c>
      <c r="C56">
        <v>33.799999999999997</v>
      </c>
      <c r="E56">
        <v>33.799999999999997</v>
      </c>
      <c r="G56">
        <f t="shared" ref="G56:G60" si="19">(E56-2.3302)/0.0671</f>
        <v>468.99850968703419</v>
      </c>
      <c r="I56">
        <f t="shared" si="1"/>
        <v>7949.1272828310885</v>
      </c>
      <c r="J56">
        <f t="shared" si="2"/>
        <v>7.9491272828310882</v>
      </c>
      <c r="K56">
        <f t="shared" si="16"/>
        <v>141.94870147912658</v>
      </c>
      <c r="L56">
        <f t="shared" si="17"/>
        <v>141948.70147912658</v>
      </c>
      <c r="M56">
        <f t="shared" si="18"/>
        <v>141.94870147912658</v>
      </c>
      <c r="O56">
        <f>M56-M60</f>
        <v>-492.56106494228197</v>
      </c>
    </row>
    <row r="57" spans="1:15">
      <c r="B57" t="s">
        <v>66</v>
      </c>
      <c r="C57">
        <v>19.2</v>
      </c>
      <c r="E57">
        <v>19.2</v>
      </c>
      <c r="G57">
        <f t="shared" si="19"/>
        <v>251.41281669150516</v>
      </c>
      <c r="I57">
        <f t="shared" si="1"/>
        <v>4261.2341812119521</v>
      </c>
      <c r="J57">
        <f t="shared" si="2"/>
        <v>4.2612341812119521</v>
      </c>
      <c r="K57">
        <f t="shared" si="16"/>
        <v>76.093467521641998</v>
      </c>
      <c r="L57">
        <f t="shared" si="17"/>
        <v>76093.467521642</v>
      </c>
      <c r="M57">
        <f t="shared" si="18"/>
        <v>76.093467521641998</v>
      </c>
      <c r="N57">
        <f>M57-M59</f>
        <v>82.093510823713643</v>
      </c>
    </row>
    <row r="58" spans="1:15">
      <c r="B58" t="s">
        <v>67</v>
      </c>
      <c r="C58">
        <v>28.2</v>
      </c>
      <c r="E58">
        <v>28.2</v>
      </c>
      <c r="G58">
        <f t="shared" si="19"/>
        <v>385.54098360655729</v>
      </c>
      <c r="I58">
        <f t="shared" si="1"/>
        <v>6534.5929424840224</v>
      </c>
      <c r="J58">
        <f t="shared" si="2"/>
        <v>6.5345929424840223</v>
      </c>
      <c r="K58">
        <f t="shared" si="16"/>
        <v>116.68915968721468</v>
      </c>
      <c r="L58">
        <f t="shared" si="17"/>
        <v>116689.15968721468</v>
      </c>
      <c r="M58">
        <f t="shared" si="18"/>
        <v>116.68915968721468</v>
      </c>
      <c r="O58">
        <f>M58-M60</f>
        <v>-517.82060673419392</v>
      </c>
    </row>
    <row r="59" spans="1:15">
      <c r="B59" t="s">
        <v>58</v>
      </c>
      <c r="C59">
        <v>1</v>
      </c>
      <c r="E59">
        <v>1</v>
      </c>
      <c r="G59">
        <f t="shared" si="19"/>
        <v>-19.824143070044709</v>
      </c>
      <c r="I59">
        <f t="shared" si="1"/>
        <v>-336.00242491601199</v>
      </c>
      <c r="J59">
        <f t="shared" si="2"/>
        <v>-0.33600242491601201</v>
      </c>
      <c r="K59">
        <f t="shared" si="16"/>
        <v>-6.000043302071643</v>
      </c>
      <c r="L59">
        <f t="shared" si="17"/>
        <v>-6000.0433020716428</v>
      </c>
      <c r="M59">
        <f t="shared" si="18"/>
        <v>-6.000043302071643</v>
      </c>
    </row>
    <row r="60" spans="1:15">
      <c r="B60" t="s">
        <v>59</v>
      </c>
      <c r="C60">
        <v>143</v>
      </c>
      <c r="E60">
        <v>143</v>
      </c>
      <c r="G60">
        <f t="shared" si="19"/>
        <v>2096.4202682563337</v>
      </c>
      <c r="I60">
        <f t="shared" si="1"/>
        <v>35532.546919598877</v>
      </c>
      <c r="J60">
        <f t="shared" si="2"/>
        <v>35.532546919598879</v>
      </c>
      <c r="K60">
        <f t="shared" si="16"/>
        <v>634.50976642140859</v>
      </c>
      <c r="L60">
        <f t="shared" si="17"/>
        <v>634509.76642140863</v>
      </c>
      <c r="M60">
        <f t="shared" si="18"/>
        <v>634.50976642140859</v>
      </c>
    </row>
    <row r="61" spans="1:15">
      <c r="I61">
        <f t="shared" si="1"/>
        <v>0</v>
      </c>
      <c r="J61">
        <f t="shared" si="2"/>
        <v>0</v>
      </c>
      <c r="K61">
        <f t="shared" si="16"/>
        <v>0</v>
      </c>
      <c r="L61">
        <f t="shared" si="17"/>
        <v>0</v>
      </c>
      <c r="M61">
        <f t="shared" si="18"/>
        <v>0</v>
      </c>
    </row>
    <row r="62" spans="1:15">
      <c r="A62" s="1">
        <v>40247</v>
      </c>
      <c r="B62" t="s">
        <v>100</v>
      </c>
      <c r="C62">
        <v>29.3</v>
      </c>
      <c r="E62">
        <v>29.3</v>
      </c>
      <c r="G62">
        <f>(E62-4.3315)/0.0757</f>
        <v>329.83487450462349</v>
      </c>
      <c r="I62">
        <f t="shared" si="1"/>
        <v>5590.4216017732797</v>
      </c>
      <c r="J62">
        <f t="shared" si="2"/>
        <v>5.5904216017732793</v>
      </c>
      <c r="K62">
        <f t="shared" si="16"/>
        <v>99.828957174522841</v>
      </c>
      <c r="L62">
        <f t="shared" si="17"/>
        <v>99828.957174522846</v>
      </c>
      <c r="M62">
        <f t="shared" si="18"/>
        <v>99.828957174522841</v>
      </c>
      <c r="N62">
        <f>M62-M66</f>
        <v>-18.79152126560497</v>
      </c>
    </row>
    <row r="63" spans="1:15">
      <c r="A63" t="s">
        <v>99</v>
      </c>
      <c r="B63" t="s">
        <v>101</v>
      </c>
      <c r="C63">
        <v>40.1</v>
      </c>
      <c r="E63">
        <v>40.1</v>
      </c>
      <c r="G63">
        <f t="shared" ref="G63:G67" si="20">(E63-4.3315)/0.0757</f>
        <v>472.50330250990754</v>
      </c>
      <c r="I63">
        <f t="shared" si="1"/>
        <v>8008.5305510153821</v>
      </c>
      <c r="J63">
        <f t="shared" si="2"/>
        <v>8.0085305510153812</v>
      </c>
      <c r="K63">
        <f t="shared" si="16"/>
        <v>143.00947412527466</v>
      </c>
      <c r="L63">
        <f t="shared" si="17"/>
        <v>143009.47412527466</v>
      </c>
      <c r="M63">
        <f t="shared" si="18"/>
        <v>143.00947412527466</v>
      </c>
      <c r="O63">
        <f>M63-M67</f>
        <v>-835.22314731593099</v>
      </c>
    </row>
    <row r="64" spans="1:15">
      <c r="B64" t="s">
        <v>102</v>
      </c>
      <c r="C64">
        <v>25.1</v>
      </c>
      <c r="E64">
        <v>25.1</v>
      </c>
      <c r="G64">
        <f t="shared" si="20"/>
        <v>274.35270805812422</v>
      </c>
      <c r="I64">
        <f t="shared" si="1"/>
        <v>4650.0458992902404</v>
      </c>
      <c r="J64">
        <f t="shared" si="2"/>
        <v>4.65004589929024</v>
      </c>
      <c r="K64">
        <f t="shared" si="16"/>
        <v>83.036533915897138</v>
      </c>
      <c r="L64">
        <f t="shared" si="17"/>
        <v>83036.533915897133</v>
      </c>
      <c r="M64">
        <f t="shared" si="18"/>
        <v>83.036533915897138</v>
      </c>
      <c r="N64">
        <f>M64-M66</f>
        <v>-35.583944524230674</v>
      </c>
    </row>
    <row r="65" spans="1:15">
      <c r="B65" t="s">
        <v>103</v>
      </c>
      <c r="C65">
        <v>41.2</v>
      </c>
      <c r="E65">
        <v>41.2</v>
      </c>
      <c r="G65">
        <f t="shared" si="20"/>
        <v>487.03434610303833</v>
      </c>
      <c r="I65">
        <f t="shared" si="1"/>
        <v>8254.819425475227</v>
      </c>
      <c r="J65">
        <f t="shared" si="2"/>
        <v>8.2548194254752278</v>
      </c>
      <c r="K65">
        <f t="shared" si="16"/>
        <v>147.40748974062907</v>
      </c>
      <c r="L65">
        <f t="shared" si="17"/>
        <v>147407.48974062907</v>
      </c>
      <c r="M65">
        <f t="shared" si="18"/>
        <v>147.40748974062907</v>
      </c>
      <c r="O65">
        <f>M65-M67</f>
        <v>-830.82513170057655</v>
      </c>
    </row>
    <row r="66" spans="1:15">
      <c r="B66" t="s">
        <v>104</v>
      </c>
      <c r="C66">
        <v>34</v>
      </c>
      <c r="E66">
        <v>34</v>
      </c>
      <c r="G66">
        <f t="shared" si="20"/>
        <v>391.92206076618231</v>
      </c>
      <c r="I66">
        <f t="shared" si="1"/>
        <v>6642.7467926471572</v>
      </c>
      <c r="J66">
        <f t="shared" si="2"/>
        <v>6.6427467926471575</v>
      </c>
      <c r="K66">
        <f t="shared" si="16"/>
        <v>118.62047844012781</v>
      </c>
      <c r="L66">
        <f t="shared" si="17"/>
        <v>118620.47844012782</v>
      </c>
      <c r="M66">
        <f t="shared" si="18"/>
        <v>118.62047844012781</v>
      </c>
    </row>
    <row r="67" spans="1:15">
      <c r="B67" t="s">
        <v>105</v>
      </c>
      <c r="C67">
        <v>249</v>
      </c>
      <c r="E67">
        <v>249</v>
      </c>
      <c r="G67">
        <f t="shared" si="20"/>
        <v>3232.0805812417434</v>
      </c>
      <c r="I67">
        <f t="shared" si="1"/>
        <v>54781.026800707514</v>
      </c>
      <c r="J67">
        <f t="shared" si="2"/>
        <v>54.781026800707515</v>
      </c>
      <c r="K67">
        <f t="shared" si="16"/>
        <v>978.23262144120565</v>
      </c>
      <c r="L67">
        <f t="shared" si="17"/>
        <v>978232.62144120561</v>
      </c>
      <c r="M67">
        <f t="shared" si="18"/>
        <v>978.23262144120565</v>
      </c>
    </row>
    <row r="68" spans="1:15">
      <c r="I68">
        <f t="shared" si="1"/>
        <v>0</v>
      </c>
      <c r="J68">
        <f t="shared" si="2"/>
        <v>0</v>
      </c>
      <c r="K68">
        <f t="shared" si="16"/>
        <v>0</v>
      </c>
      <c r="L68">
        <f t="shared" si="17"/>
        <v>0</v>
      </c>
      <c r="M68">
        <f t="shared" si="18"/>
        <v>0</v>
      </c>
    </row>
    <row r="69" spans="1:15">
      <c r="A69" s="1">
        <v>40249</v>
      </c>
      <c r="B69" t="s">
        <v>107</v>
      </c>
      <c r="C69">
        <v>11.7</v>
      </c>
      <c r="E69">
        <v>11.7</v>
      </c>
      <c r="G69">
        <f>(E69-2.9437)/0.0821</f>
        <v>106.65408038976857</v>
      </c>
      <c r="I69">
        <f t="shared" si="1"/>
        <v>1807.6962777926874</v>
      </c>
      <c r="J69">
        <f t="shared" si="2"/>
        <v>1.8076962777926875</v>
      </c>
      <c r="K69">
        <f t="shared" si="16"/>
        <v>32.28029067486942</v>
      </c>
      <c r="L69">
        <f t="shared" si="17"/>
        <v>32280.290674869419</v>
      </c>
      <c r="M69">
        <f t="shared" si="18"/>
        <v>32.28029067486942</v>
      </c>
      <c r="N69">
        <f>M69-M73</f>
        <v>-149.30413214853439</v>
      </c>
    </row>
    <row r="70" spans="1:15">
      <c r="A70" t="s">
        <v>106</v>
      </c>
      <c r="B70" t="s">
        <v>8</v>
      </c>
      <c r="C70">
        <v>23.7</v>
      </c>
      <c r="E70">
        <v>23.7</v>
      </c>
      <c r="G70">
        <f t="shared" ref="G70:G74" si="21">(E70-2.9437)/0.0821</f>
        <v>252.81729598051155</v>
      </c>
      <c r="I70">
        <f t="shared" si="1"/>
        <v>4285.0389149239245</v>
      </c>
      <c r="J70">
        <f t="shared" si="2"/>
        <v>4.2850389149239243</v>
      </c>
      <c r="K70">
        <f t="shared" si="16"/>
        <v>76.518552052212939</v>
      </c>
      <c r="L70">
        <f t="shared" si="17"/>
        <v>76518.552052212937</v>
      </c>
      <c r="M70">
        <f t="shared" si="18"/>
        <v>76.518552052212939</v>
      </c>
      <c r="O70">
        <f>M70-M74</f>
        <v>-849.00596626685115</v>
      </c>
    </row>
    <row r="71" spans="1:15">
      <c r="B71" t="s">
        <v>6</v>
      </c>
      <c r="C71">
        <v>29.1</v>
      </c>
      <c r="E71">
        <v>29.1</v>
      </c>
      <c r="G71">
        <f t="shared" si="21"/>
        <v>318.59074299634591</v>
      </c>
      <c r="I71">
        <f t="shared" si="1"/>
        <v>5399.8431016329814</v>
      </c>
      <c r="J71">
        <f t="shared" si="2"/>
        <v>5.3998431016329818</v>
      </c>
      <c r="K71">
        <f t="shared" si="16"/>
        <v>96.425769672017523</v>
      </c>
      <c r="L71">
        <f t="shared" si="17"/>
        <v>96425.76967201753</v>
      </c>
      <c r="M71">
        <f t="shared" si="18"/>
        <v>96.425769672017523</v>
      </c>
      <c r="N71">
        <f>M71-M73</f>
        <v>-85.158653151386275</v>
      </c>
    </row>
    <row r="72" spans="1:15">
      <c r="B72" t="s">
        <v>7</v>
      </c>
      <c r="C72">
        <v>27.9</v>
      </c>
      <c r="E72">
        <v>27.9</v>
      </c>
      <c r="G72">
        <f t="shared" si="21"/>
        <v>303.97442143727159</v>
      </c>
      <c r="I72">
        <f t="shared" si="1"/>
        <v>5152.1088379198573</v>
      </c>
      <c r="J72">
        <f t="shared" si="2"/>
        <v>5.1521088379198572</v>
      </c>
      <c r="K72">
        <f t="shared" si="16"/>
        <v>92.001943534283157</v>
      </c>
      <c r="L72">
        <f t="shared" si="17"/>
        <v>92001.943534283157</v>
      </c>
      <c r="M72">
        <f t="shared" si="18"/>
        <v>92.001943534283157</v>
      </c>
      <c r="O72">
        <f>M72-M74</f>
        <v>-833.522574784781</v>
      </c>
    </row>
    <row r="73" spans="1:15">
      <c r="B73" t="s">
        <v>104</v>
      </c>
      <c r="C73">
        <v>52.2</v>
      </c>
      <c r="E73">
        <v>52.2</v>
      </c>
      <c r="G73">
        <f t="shared" si="21"/>
        <v>599.95493300852615</v>
      </c>
      <c r="I73">
        <f t="shared" si="1"/>
        <v>10168.727678110614</v>
      </c>
      <c r="J73">
        <f t="shared" si="2"/>
        <v>10.168727678110614</v>
      </c>
      <c r="K73">
        <f t="shared" si="16"/>
        <v>181.5844228234038</v>
      </c>
      <c r="L73">
        <f t="shared" si="17"/>
        <v>181584.42282340379</v>
      </c>
      <c r="M73">
        <f t="shared" si="18"/>
        <v>181.5844228234038</v>
      </c>
    </row>
    <row r="74" spans="1:15">
      <c r="B74" t="s">
        <v>9</v>
      </c>
      <c r="C74">
        <v>254</v>
      </c>
      <c r="E74">
        <v>254</v>
      </c>
      <c r="G74">
        <f t="shared" si="21"/>
        <v>3057.9330085261872</v>
      </c>
      <c r="I74">
        <f t="shared" si="1"/>
        <v>51829.373025867586</v>
      </c>
      <c r="J74">
        <f t="shared" si="2"/>
        <v>51.829373025867589</v>
      </c>
      <c r="K74">
        <f t="shared" si="16"/>
        <v>925.5245183190641</v>
      </c>
      <c r="L74">
        <f t="shared" si="17"/>
        <v>925524.51831906405</v>
      </c>
      <c r="M74">
        <f t="shared" si="18"/>
        <v>925.5245183190641</v>
      </c>
    </row>
    <row r="75" spans="1:15">
      <c r="I75">
        <f t="shared" si="1"/>
        <v>0</v>
      </c>
      <c r="J75">
        <f t="shared" si="2"/>
        <v>0</v>
      </c>
      <c r="K75">
        <f t="shared" si="16"/>
        <v>0</v>
      </c>
      <c r="L75">
        <f t="shared" si="17"/>
        <v>0</v>
      </c>
      <c r="M75">
        <f t="shared" si="18"/>
        <v>0</v>
      </c>
    </row>
    <row r="76" spans="1:15">
      <c r="A76" s="1">
        <v>40249</v>
      </c>
      <c r="B76" t="s">
        <v>11</v>
      </c>
      <c r="C76">
        <v>9.76</v>
      </c>
      <c r="E76">
        <v>9.76</v>
      </c>
      <c r="G76">
        <f>(E76-17.782)/0.0554</f>
        <v>-144.80144404332131</v>
      </c>
      <c r="I76">
        <f t="shared" si="1"/>
        <v>-2454.261763446124</v>
      </c>
      <c r="J76">
        <f t="shared" si="2"/>
        <v>-2.4542617634461239</v>
      </c>
      <c r="K76">
        <f t="shared" si="16"/>
        <v>-43.826102918680782</v>
      </c>
      <c r="L76">
        <f t="shared" si="17"/>
        <v>-43826.102918680779</v>
      </c>
      <c r="M76">
        <f t="shared" si="18"/>
        <v>-43.826102918680782</v>
      </c>
      <c r="N76">
        <f>M76-M80</f>
        <v>-171.76423283013261</v>
      </c>
    </row>
    <row r="77" spans="1:15">
      <c r="A77" t="s">
        <v>10</v>
      </c>
      <c r="B77" t="s">
        <v>12</v>
      </c>
      <c r="C77">
        <v>24.9</v>
      </c>
      <c r="E77">
        <v>24.9</v>
      </c>
      <c r="G77">
        <f t="shared" ref="G77:G81" si="22">(E77-17.782)/0.0554</f>
        <v>128.48375451263536</v>
      </c>
      <c r="I77">
        <f t="shared" si="1"/>
        <v>2177.690754451447</v>
      </c>
      <c r="J77">
        <f t="shared" si="2"/>
        <v>2.1776907544514468</v>
      </c>
      <c r="K77">
        <f t="shared" si="16"/>
        <v>38.887334900918688</v>
      </c>
      <c r="L77">
        <f t="shared" si="17"/>
        <v>38887.334900918686</v>
      </c>
      <c r="M77">
        <f t="shared" si="18"/>
        <v>38.887334900918688</v>
      </c>
      <c r="O77">
        <f>M77-M81</f>
        <v>-945.68666357811549</v>
      </c>
    </row>
    <row r="78" spans="1:15">
      <c r="B78" t="s">
        <v>13</v>
      </c>
      <c r="C78">
        <v>16.100000000000001</v>
      </c>
      <c r="E78">
        <v>16.100000000000001</v>
      </c>
      <c r="G78">
        <f t="shared" si="22"/>
        <v>-30.361010830324886</v>
      </c>
      <c r="I78">
        <f t="shared" si="1"/>
        <v>-514.59340390381158</v>
      </c>
      <c r="J78">
        <f t="shared" si="2"/>
        <v>-0.51459340390381159</v>
      </c>
      <c r="K78">
        <f t="shared" si="16"/>
        <v>-9.1891679268537789</v>
      </c>
      <c r="L78">
        <f t="shared" si="17"/>
        <v>-9189.1679268537791</v>
      </c>
      <c r="M78">
        <f t="shared" si="18"/>
        <v>-9.1891679268537789</v>
      </c>
      <c r="N78">
        <f>M78-M80</f>
        <v>-137.12729783830562</v>
      </c>
    </row>
    <row r="79" spans="1:15">
      <c r="B79" t="s">
        <v>14</v>
      </c>
      <c r="C79">
        <v>39.299999999999997</v>
      </c>
      <c r="E79">
        <v>39.299999999999997</v>
      </c>
      <c r="G79">
        <f t="shared" si="22"/>
        <v>388.41155234657037</v>
      </c>
      <c r="I79">
        <f t="shared" si="1"/>
        <v>6583.2466499418715</v>
      </c>
      <c r="J79">
        <f t="shared" si="2"/>
        <v>6.5832466499418718</v>
      </c>
      <c r="K79">
        <f t="shared" si="16"/>
        <v>117.55797589181914</v>
      </c>
      <c r="L79">
        <f t="shared" si="17"/>
        <v>117557.97589181914</v>
      </c>
      <c r="M79">
        <f t="shared" si="18"/>
        <v>117.55797589181914</v>
      </c>
      <c r="O79">
        <f>M79-M81</f>
        <v>-867.01602258721505</v>
      </c>
    </row>
    <row r="80" spans="1:15">
      <c r="B80" t="s">
        <v>15</v>
      </c>
      <c r="C80">
        <v>41.2</v>
      </c>
      <c r="E80">
        <v>41.2</v>
      </c>
      <c r="G80">
        <f t="shared" si="22"/>
        <v>422.70758122743689</v>
      </c>
      <c r="I80">
        <f t="shared" si="1"/>
        <v>7164.5352750413031</v>
      </c>
      <c r="J80">
        <f t="shared" si="2"/>
        <v>7.1645352750413034</v>
      </c>
      <c r="K80">
        <f t="shared" si="16"/>
        <v>127.93812991145184</v>
      </c>
      <c r="L80">
        <f t="shared" si="17"/>
        <v>127938.12991145183</v>
      </c>
      <c r="M80">
        <f t="shared" si="18"/>
        <v>127.93812991145184</v>
      </c>
    </row>
    <row r="81" spans="1:15">
      <c r="B81" t="s">
        <v>9</v>
      </c>
      <c r="C81">
        <v>198</v>
      </c>
      <c r="E81">
        <v>198</v>
      </c>
      <c r="G81">
        <f t="shared" si="22"/>
        <v>3253.0324909747292</v>
      </c>
      <c r="I81">
        <f t="shared" si="1"/>
        <v>55136.143914825916</v>
      </c>
      <c r="J81">
        <f t="shared" si="2"/>
        <v>55.136143914825915</v>
      </c>
      <c r="K81">
        <f t="shared" si="16"/>
        <v>984.57399847903423</v>
      </c>
      <c r="L81">
        <f t="shared" si="17"/>
        <v>984573.99847903429</v>
      </c>
      <c r="M81">
        <f t="shared" si="18"/>
        <v>984.57399847903423</v>
      </c>
    </row>
    <row r="82" spans="1:15">
      <c r="I82">
        <f t="shared" si="1"/>
        <v>0</v>
      </c>
      <c r="J82">
        <f t="shared" si="2"/>
        <v>0</v>
      </c>
      <c r="K82">
        <f t="shared" si="16"/>
        <v>0</v>
      </c>
      <c r="L82">
        <f t="shared" si="17"/>
        <v>0</v>
      </c>
      <c r="M82">
        <f t="shared" si="18"/>
        <v>0</v>
      </c>
    </row>
    <row r="83" spans="1:15">
      <c r="A83" s="1">
        <v>40260</v>
      </c>
      <c r="B83" t="s">
        <v>17</v>
      </c>
      <c r="C83">
        <v>-184</v>
      </c>
      <c r="E83">
        <v>-184</v>
      </c>
      <c r="G83">
        <f>(E83-2.6849)/0.0762</f>
        <v>-2449.9330708661414</v>
      </c>
      <c r="I83">
        <f t="shared" si="1"/>
        <v>-41524.289336714261</v>
      </c>
      <c r="J83">
        <f t="shared" si="2"/>
        <v>-41.524289336714261</v>
      </c>
      <c r="K83">
        <f t="shared" si="16"/>
        <v>-741.50516672704032</v>
      </c>
      <c r="L83">
        <f t="shared" si="17"/>
        <v>-741505.16672704031</v>
      </c>
      <c r="M83">
        <f t="shared" si="18"/>
        <v>-741.50516672704032</v>
      </c>
      <c r="N83">
        <f>M83-M85</f>
        <v>-15.887844527908442</v>
      </c>
    </row>
    <row r="84" spans="1:15">
      <c r="A84" t="s">
        <v>16</v>
      </c>
      <c r="B84" t="s">
        <v>18</v>
      </c>
      <c r="C84">
        <v>-184</v>
      </c>
      <c r="E84">
        <v>-184</v>
      </c>
      <c r="G84">
        <f t="shared" ref="G84:G86" si="23">(E84-2.6849)/0.0762</f>
        <v>-2449.9330708661414</v>
      </c>
      <c r="I84">
        <f t="shared" si="1"/>
        <v>-41524.289336714261</v>
      </c>
      <c r="J84">
        <f t="shared" si="2"/>
        <v>-41.524289336714261</v>
      </c>
      <c r="K84">
        <f t="shared" si="16"/>
        <v>-741.50516672704032</v>
      </c>
      <c r="L84">
        <f t="shared" si="17"/>
        <v>-741505.16672704031</v>
      </c>
      <c r="M84">
        <f t="shared" si="18"/>
        <v>-741.50516672704032</v>
      </c>
      <c r="O84">
        <f>M84-M86</f>
        <v>-808.69128647054697</v>
      </c>
    </row>
    <row r="85" spans="1:15">
      <c r="B85" t="s">
        <v>15</v>
      </c>
      <c r="C85">
        <v>-180</v>
      </c>
      <c r="E85">
        <v>-180</v>
      </c>
      <c r="G85">
        <f t="shared" si="23"/>
        <v>-2397.4396325459315</v>
      </c>
      <c r="I85">
        <f t="shared" si="1"/>
        <v>-40634.570043151383</v>
      </c>
      <c r="J85">
        <f t="shared" si="2"/>
        <v>-40.634570043151385</v>
      </c>
      <c r="K85">
        <f t="shared" si="16"/>
        <v>-725.61732219913188</v>
      </c>
      <c r="L85">
        <f t="shared" si="17"/>
        <v>-725617.32219913183</v>
      </c>
      <c r="M85">
        <f t="shared" si="18"/>
        <v>-725.61732219913188</v>
      </c>
    </row>
    <row r="86" spans="1:15">
      <c r="B86" t="s">
        <v>19</v>
      </c>
      <c r="C86">
        <v>19.600000000000001</v>
      </c>
      <c r="E86">
        <v>19.600000000000001</v>
      </c>
      <c r="G86">
        <f t="shared" si="23"/>
        <v>221.98293963254596</v>
      </c>
      <c r="I86">
        <f t="shared" si="1"/>
        <v>3762.422705636372</v>
      </c>
      <c r="J86">
        <f t="shared" si="2"/>
        <v>3.7624227056363719</v>
      </c>
      <c r="K86">
        <f t="shared" si="16"/>
        <v>67.186119743506637</v>
      </c>
      <c r="L86">
        <f t="shared" si="17"/>
        <v>67186.119743506642</v>
      </c>
      <c r="M86">
        <f t="shared" si="18"/>
        <v>67.186119743506637</v>
      </c>
    </row>
    <row r="87" spans="1:15">
      <c r="I87">
        <f t="shared" si="1"/>
        <v>0</v>
      </c>
      <c r="J87">
        <f t="shared" si="2"/>
        <v>0</v>
      </c>
      <c r="K87">
        <f t="shared" si="16"/>
        <v>0</v>
      </c>
      <c r="L87">
        <f t="shared" si="17"/>
        <v>0</v>
      </c>
      <c r="M87">
        <f t="shared" si="18"/>
        <v>0</v>
      </c>
    </row>
    <row r="88" spans="1:15">
      <c r="B88" t="s">
        <v>20</v>
      </c>
      <c r="C88">
        <v>28.3</v>
      </c>
      <c r="E88">
        <v>28.6</v>
      </c>
      <c r="G88">
        <f>(E88-2.0401)/0.0784</f>
        <v>338.77423469387759</v>
      </c>
      <c r="I88">
        <f t="shared" ref="I88:I147" si="24">(G88/(5.9*10^13))*(1*10^15)</f>
        <v>5741.936181252162</v>
      </c>
      <c r="J88">
        <f t="shared" ref="J88:J147" si="25">I88/1000</f>
        <v>5.7419361812521617</v>
      </c>
      <c r="K88">
        <f t="shared" si="16"/>
        <v>102.53457466521716</v>
      </c>
      <c r="L88">
        <f t="shared" si="17"/>
        <v>102534.57466521717</v>
      </c>
      <c r="M88">
        <f t="shared" si="18"/>
        <v>102.53457466521716</v>
      </c>
      <c r="N88">
        <f>M88-M90</f>
        <v>-42.465533428867943</v>
      </c>
    </row>
    <row r="89" spans="1:15">
      <c r="B89" t="s">
        <v>21</v>
      </c>
      <c r="C89">
        <v>26</v>
      </c>
      <c r="E89">
        <v>26</v>
      </c>
      <c r="G89">
        <f t="shared" ref="G89:G91" si="26">(E89-2.0401)/0.0784</f>
        <v>305.61096938775512</v>
      </c>
      <c r="I89">
        <f t="shared" si="24"/>
        <v>5179.8469387755104</v>
      </c>
      <c r="J89">
        <f t="shared" si="25"/>
        <v>5.1798469387755102</v>
      </c>
      <c r="K89">
        <f t="shared" si="16"/>
        <v>92.497266763848387</v>
      </c>
      <c r="L89">
        <f t="shared" si="17"/>
        <v>92497.266763848384</v>
      </c>
      <c r="M89">
        <f t="shared" si="18"/>
        <v>92.497266763848387</v>
      </c>
      <c r="O89">
        <f>M89-M91</f>
        <v>-725.77457132974246</v>
      </c>
    </row>
    <row r="90" spans="1:15">
      <c r="B90" t="s">
        <v>104</v>
      </c>
      <c r="C90">
        <v>39.6</v>
      </c>
      <c r="E90">
        <v>39.6</v>
      </c>
      <c r="G90">
        <f t="shared" si="26"/>
        <v>479.08035714285717</v>
      </c>
      <c r="I90">
        <f t="shared" si="24"/>
        <v>8120.0060532687658</v>
      </c>
      <c r="J90">
        <f t="shared" si="25"/>
        <v>8.1200060532687655</v>
      </c>
      <c r="K90">
        <f t="shared" si="16"/>
        <v>145.00010809408511</v>
      </c>
      <c r="L90">
        <f t="shared" si="17"/>
        <v>145000.1080940851</v>
      </c>
      <c r="M90">
        <f t="shared" si="18"/>
        <v>145.00010809408511</v>
      </c>
    </row>
    <row r="91" spans="1:15">
      <c r="B91" t="s">
        <v>9</v>
      </c>
      <c r="C91">
        <v>214</v>
      </c>
      <c r="E91">
        <v>214</v>
      </c>
      <c r="G91">
        <f t="shared" si="26"/>
        <v>2703.5701530612246</v>
      </c>
      <c r="I91">
        <f t="shared" si="24"/>
        <v>45823.222933241093</v>
      </c>
      <c r="J91">
        <f t="shared" si="25"/>
        <v>45.823222933241091</v>
      </c>
      <c r="K91">
        <f t="shared" si="16"/>
        <v>818.27183809359087</v>
      </c>
      <c r="L91">
        <f t="shared" si="17"/>
        <v>818271.83809359092</v>
      </c>
      <c r="M91">
        <f t="shared" si="18"/>
        <v>818.27183809359087</v>
      </c>
    </row>
    <row r="92" spans="1:15">
      <c r="I92">
        <f t="shared" si="24"/>
        <v>0</v>
      </c>
      <c r="J92">
        <f t="shared" si="25"/>
        <v>0</v>
      </c>
      <c r="K92">
        <f t="shared" si="16"/>
        <v>0</v>
      </c>
      <c r="L92">
        <f t="shared" si="17"/>
        <v>0</v>
      </c>
      <c r="M92">
        <f t="shared" si="18"/>
        <v>0</v>
      </c>
    </row>
    <row r="93" spans="1:15">
      <c r="B93" t="s">
        <v>25</v>
      </c>
      <c r="I93">
        <f t="shared" si="24"/>
        <v>0</v>
      </c>
      <c r="J93">
        <f t="shared" si="25"/>
        <v>0</v>
      </c>
      <c r="K93">
        <f t="shared" si="16"/>
        <v>0</v>
      </c>
      <c r="L93">
        <f t="shared" si="17"/>
        <v>0</v>
      </c>
      <c r="M93">
        <f t="shared" si="18"/>
        <v>0</v>
      </c>
    </row>
    <row r="94" spans="1:15">
      <c r="A94" s="1">
        <v>40261</v>
      </c>
      <c r="B94" t="s">
        <v>24</v>
      </c>
      <c r="C94">
        <v>26.3</v>
      </c>
      <c r="E94">
        <v>26.3</v>
      </c>
      <c r="G94">
        <f>(E94-2.7655)-0.072</f>
        <v>23.462500000000002</v>
      </c>
      <c r="I94">
        <f t="shared" si="24"/>
        <v>397.66949152542378</v>
      </c>
      <c r="J94">
        <f t="shared" si="25"/>
        <v>0.3976694915254238</v>
      </c>
      <c r="K94">
        <f t="shared" si="16"/>
        <v>7.1012409200968536</v>
      </c>
      <c r="L94">
        <f t="shared" si="17"/>
        <v>7101.2409200968532</v>
      </c>
      <c r="M94">
        <f t="shared" si="18"/>
        <v>7.1012409200968536</v>
      </c>
      <c r="N94">
        <f>M94-M96</f>
        <v>-2.3910411622276042</v>
      </c>
    </row>
    <row r="95" spans="1:15">
      <c r="A95" t="s">
        <v>22</v>
      </c>
      <c r="B95" t="s">
        <v>23</v>
      </c>
      <c r="C95">
        <v>69.2</v>
      </c>
      <c r="E95">
        <v>69.2</v>
      </c>
      <c r="G95">
        <f t="shared" ref="G95:G108" si="27">(E95-2.7655)-0.072</f>
        <v>66.362499999999997</v>
      </c>
      <c r="I95">
        <f t="shared" si="24"/>
        <v>1124.7881355932202</v>
      </c>
      <c r="J95">
        <f t="shared" si="25"/>
        <v>1.1247881355932201</v>
      </c>
      <c r="K95">
        <f t="shared" si="16"/>
        <v>20.085502421307503</v>
      </c>
      <c r="L95">
        <f t="shared" si="17"/>
        <v>20085.502421307501</v>
      </c>
      <c r="M95">
        <f t="shared" si="18"/>
        <v>20.085502421307503</v>
      </c>
      <c r="O95">
        <f>M95-M97</f>
        <v>-46.549636803874087</v>
      </c>
    </row>
    <row r="96" spans="1:15">
      <c r="B96" t="s">
        <v>104</v>
      </c>
      <c r="C96">
        <v>34.200000000000003</v>
      </c>
      <c r="E96">
        <v>34.200000000000003</v>
      </c>
      <c r="G96">
        <f t="shared" si="27"/>
        <v>31.362500000000004</v>
      </c>
      <c r="I96">
        <f t="shared" si="24"/>
        <v>531.56779661016958</v>
      </c>
      <c r="J96">
        <f t="shared" si="25"/>
        <v>0.53156779661016962</v>
      </c>
      <c r="K96">
        <f t="shared" si="16"/>
        <v>9.4922820823244578</v>
      </c>
      <c r="L96">
        <f t="shared" si="17"/>
        <v>9492.2820823244583</v>
      </c>
      <c r="M96">
        <f t="shared" si="18"/>
        <v>9.4922820823244578</v>
      </c>
    </row>
    <row r="97" spans="1:15">
      <c r="B97" t="s">
        <v>9</v>
      </c>
      <c r="C97">
        <v>223</v>
      </c>
      <c r="E97">
        <v>223</v>
      </c>
      <c r="G97">
        <f t="shared" si="27"/>
        <v>220.16249999999999</v>
      </c>
      <c r="I97">
        <f t="shared" si="24"/>
        <v>3731.5677966101694</v>
      </c>
      <c r="J97">
        <f t="shared" si="25"/>
        <v>3.7315677966101695</v>
      </c>
      <c r="K97">
        <f t="shared" si="16"/>
        <v>66.635139225181589</v>
      </c>
      <c r="L97">
        <f t="shared" si="17"/>
        <v>66635.139225181585</v>
      </c>
      <c r="M97">
        <f t="shared" si="18"/>
        <v>66.635139225181589</v>
      </c>
    </row>
    <row r="98" spans="1:15">
      <c r="I98">
        <f t="shared" si="24"/>
        <v>0</v>
      </c>
      <c r="J98">
        <f t="shared" si="25"/>
        <v>0</v>
      </c>
      <c r="K98">
        <f t="shared" si="16"/>
        <v>0</v>
      </c>
      <c r="L98">
        <f t="shared" si="17"/>
        <v>0</v>
      </c>
      <c r="M98">
        <f t="shared" si="18"/>
        <v>0</v>
      </c>
    </row>
    <row r="99" spans="1:15">
      <c r="B99" t="s">
        <v>26</v>
      </c>
      <c r="C99">
        <v>26.4</v>
      </c>
      <c r="E99">
        <v>26.4</v>
      </c>
      <c r="G99">
        <f t="shared" si="27"/>
        <v>23.5625</v>
      </c>
      <c r="I99">
        <f t="shared" si="24"/>
        <v>399.36440677966101</v>
      </c>
      <c r="J99">
        <f t="shared" si="25"/>
        <v>0.39936440677966101</v>
      </c>
      <c r="K99">
        <f t="shared" si="16"/>
        <v>7.1315072639225177</v>
      </c>
      <c r="L99">
        <f t="shared" si="17"/>
        <v>7131.5072639225173</v>
      </c>
      <c r="M99">
        <f t="shared" si="18"/>
        <v>7.1315072639225177</v>
      </c>
      <c r="N99">
        <f>M99-M101</f>
        <v>-0.36319612590799188</v>
      </c>
    </row>
    <row r="100" spans="1:15">
      <c r="B100" t="s">
        <v>27</v>
      </c>
      <c r="C100">
        <v>191</v>
      </c>
      <c r="E100">
        <v>191</v>
      </c>
      <c r="G100">
        <f t="shared" si="27"/>
        <v>188.16249999999999</v>
      </c>
      <c r="I100">
        <f t="shared" si="24"/>
        <v>3189.1949152542375</v>
      </c>
      <c r="J100">
        <f t="shared" si="25"/>
        <v>3.1891949152542374</v>
      </c>
      <c r="K100">
        <f t="shared" si="16"/>
        <v>56.94990920096852</v>
      </c>
      <c r="L100">
        <f t="shared" si="17"/>
        <v>56949.909200968519</v>
      </c>
      <c r="M100">
        <f t="shared" si="18"/>
        <v>56.94990920096852</v>
      </c>
      <c r="O100">
        <f>M100-M102</f>
        <v>-12.40920096852301</v>
      </c>
    </row>
    <row r="101" spans="1:15">
      <c r="B101" t="s">
        <v>104</v>
      </c>
      <c r="C101">
        <v>27.6</v>
      </c>
      <c r="E101">
        <v>27.6</v>
      </c>
      <c r="G101">
        <f t="shared" si="27"/>
        <v>24.762500000000003</v>
      </c>
      <c r="I101">
        <f t="shared" si="24"/>
        <v>419.70338983050851</v>
      </c>
      <c r="J101">
        <f t="shared" si="25"/>
        <v>0.41970338983050853</v>
      </c>
      <c r="K101">
        <f t="shared" si="16"/>
        <v>7.4947033898305095</v>
      </c>
      <c r="L101">
        <f t="shared" si="17"/>
        <v>7494.7033898305099</v>
      </c>
      <c r="M101">
        <f t="shared" si="18"/>
        <v>7.4947033898305095</v>
      </c>
    </row>
    <row r="102" spans="1:15">
      <c r="B102" t="s">
        <v>28</v>
      </c>
      <c r="C102">
        <v>232</v>
      </c>
      <c r="E102">
        <v>232</v>
      </c>
      <c r="G102">
        <f t="shared" si="27"/>
        <v>229.16249999999999</v>
      </c>
      <c r="I102">
        <f t="shared" si="24"/>
        <v>3884.1101694915255</v>
      </c>
      <c r="J102">
        <f t="shared" si="25"/>
        <v>3.8841101694915254</v>
      </c>
      <c r="K102">
        <f t="shared" si="16"/>
        <v>69.35911016949153</v>
      </c>
      <c r="L102">
        <f t="shared" si="17"/>
        <v>69359.110169491527</v>
      </c>
      <c r="M102">
        <f t="shared" si="18"/>
        <v>69.35911016949153</v>
      </c>
    </row>
    <row r="103" spans="1:15">
      <c r="I103">
        <f t="shared" si="24"/>
        <v>0</v>
      </c>
      <c r="J103">
        <f t="shared" si="25"/>
        <v>0</v>
      </c>
      <c r="K103">
        <f t="shared" si="16"/>
        <v>0</v>
      </c>
      <c r="L103">
        <f t="shared" si="17"/>
        <v>0</v>
      </c>
      <c r="M103">
        <f t="shared" si="18"/>
        <v>0</v>
      </c>
    </row>
    <row r="104" spans="1:15">
      <c r="B104" t="s">
        <v>29</v>
      </c>
      <c r="I104">
        <f t="shared" si="24"/>
        <v>0</v>
      </c>
      <c r="J104">
        <f t="shared" si="25"/>
        <v>0</v>
      </c>
      <c r="K104">
        <f t="shared" si="16"/>
        <v>0</v>
      </c>
      <c r="L104">
        <f t="shared" si="17"/>
        <v>0</v>
      </c>
      <c r="M104">
        <f t="shared" si="18"/>
        <v>0</v>
      </c>
    </row>
    <row r="105" spans="1:15">
      <c r="B105" t="s">
        <v>30</v>
      </c>
      <c r="C105">
        <v>16.399999999999999</v>
      </c>
      <c r="E105">
        <v>16.399999999999999</v>
      </c>
      <c r="G105">
        <f t="shared" si="27"/>
        <v>13.5625</v>
      </c>
      <c r="I105">
        <f t="shared" si="24"/>
        <v>229.87288135593218</v>
      </c>
      <c r="J105">
        <f t="shared" si="25"/>
        <v>0.22987288135593217</v>
      </c>
      <c r="K105">
        <f t="shared" si="16"/>
        <v>4.1048728813559316</v>
      </c>
      <c r="L105">
        <f t="shared" si="17"/>
        <v>4104.8728813559319</v>
      </c>
      <c r="M105">
        <f t="shared" si="18"/>
        <v>4.1048728813559316</v>
      </c>
      <c r="N105">
        <f>M105-M107</f>
        <v>-2.027845036319615</v>
      </c>
    </row>
    <row r="106" spans="1:15">
      <c r="B106" t="s">
        <v>31</v>
      </c>
      <c r="C106">
        <v>40.799999999999997</v>
      </c>
      <c r="E106">
        <v>40.799999999999997</v>
      </c>
      <c r="G106">
        <f t="shared" si="27"/>
        <v>37.962499999999991</v>
      </c>
      <c r="I106">
        <f t="shared" si="24"/>
        <v>643.43220338983031</v>
      </c>
      <c r="J106">
        <f t="shared" si="25"/>
        <v>0.64343220338983032</v>
      </c>
      <c r="K106">
        <f t="shared" si="16"/>
        <v>11.489860774818398</v>
      </c>
      <c r="L106">
        <f t="shared" si="17"/>
        <v>11489.860774818399</v>
      </c>
      <c r="M106">
        <f t="shared" si="18"/>
        <v>11.489860774818398</v>
      </c>
      <c r="O106">
        <f>M106-M108</f>
        <v>-59.079903147699767</v>
      </c>
    </row>
    <row r="107" spans="1:15">
      <c r="B107" t="s">
        <v>104</v>
      </c>
      <c r="C107">
        <v>23.1</v>
      </c>
      <c r="E107">
        <v>23.1</v>
      </c>
      <c r="G107">
        <f t="shared" si="27"/>
        <v>20.262500000000003</v>
      </c>
      <c r="I107">
        <f t="shared" si="24"/>
        <v>343.43220338983059</v>
      </c>
      <c r="J107">
        <f t="shared" si="25"/>
        <v>0.3434322033898306</v>
      </c>
      <c r="K107">
        <f t="shared" si="16"/>
        <v>6.1327179176755466</v>
      </c>
      <c r="L107">
        <f t="shared" si="17"/>
        <v>6132.7179176755462</v>
      </c>
      <c r="M107">
        <f t="shared" si="18"/>
        <v>6.1327179176755466</v>
      </c>
    </row>
    <row r="108" spans="1:15">
      <c r="B108" t="s">
        <v>32</v>
      </c>
      <c r="C108">
        <v>236</v>
      </c>
      <c r="E108">
        <v>236</v>
      </c>
      <c r="G108">
        <f t="shared" si="27"/>
        <v>233.16249999999999</v>
      </c>
      <c r="I108">
        <f t="shared" si="24"/>
        <v>3951.906779661017</v>
      </c>
      <c r="J108">
        <f t="shared" si="25"/>
        <v>3.9519067796610172</v>
      </c>
      <c r="K108">
        <f t="shared" si="16"/>
        <v>70.569763922518163</v>
      </c>
      <c r="L108">
        <f t="shared" si="17"/>
        <v>70569.763922518163</v>
      </c>
      <c r="M108">
        <f t="shared" si="18"/>
        <v>70.569763922518163</v>
      </c>
    </row>
    <row r="109" spans="1:15">
      <c r="I109">
        <f t="shared" si="24"/>
        <v>0</v>
      </c>
      <c r="J109">
        <f t="shared" si="25"/>
        <v>0</v>
      </c>
      <c r="K109">
        <f t="shared" si="16"/>
        <v>0</v>
      </c>
      <c r="L109">
        <f t="shared" si="17"/>
        <v>0</v>
      </c>
      <c r="M109">
        <f t="shared" si="18"/>
        <v>0</v>
      </c>
    </row>
    <row r="110" spans="1:15">
      <c r="A110" s="1">
        <v>40262</v>
      </c>
      <c r="B110" t="s">
        <v>33</v>
      </c>
      <c r="I110">
        <f t="shared" si="24"/>
        <v>0</v>
      </c>
      <c r="J110">
        <f t="shared" si="25"/>
        <v>0</v>
      </c>
      <c r="K110">
        <f t="shared" si="16"/>
        <v>0</v>
      </c>
      <c r="L110">
        <f t="shared" si="17"/>
        <v>0</v>
      </c>
      <c r="M110">
        <f t="shared" si="18"/>
        <v>0</v>
      </c>
    </row>
    <row r="111" spans="1:15">
      <c r="A111" t="s">
        <v>34</v>
      </c>
      <c r="B111" t="s">
        <v>35</v>
      </c>
      <c r="C111">
        <v>11.1</v>
      </c>
      <c r="E111">
        <v>11.1</v>
      </c>
      <c r="G111">
        <f>(E111-2.895)/0.073</f>
        <v>112.39726027397261</v>
      </c>
      <c r="I111">
        <f t="shared" si="24"/>
        <v>1905.0383097283491</v>
      </c>
      <c r="J111">
        <f t="shared" si="25"/>
        <v>1.905038309728349</v>
      </c>
      <c r="K111">
        <f t="shared" si="16"/>
        <v>34.018541245149088</v>
      </c>
      <c r="L111">
        <f t="shared" si="17"/>
        <v>34018.541245149085</v>
      </c>
      <c r="M111">
        <f t="shared" si="18"/>
        <v>34.018541245149088</v>
      </c>
      <c r="N111">
        <f>M111-M113</f>
        <v>-8.7067564429997688</v>
      </c>
    </row>
    <row r="112" spans="1:15">
      <c r="B112" t="s">
        <v>36</v>
      </c>
      <c r="C112">
        <v>26.7</v>
      </c>
      <c r="E112">
        <v>26.7</v>
      </c>
      <c r="G112">
        <f t="shared" ref="G112:G114" si="28">(E112-2.895)/0.073</f>
        <v>326.09589041095893</v>
      </c>
      <c r="I112">
        <f t="shared" si="24"/>
        <v>5527.0489900162529</v>
      </c>
      <c r="J112">
        <f t="shared" si="25"/>
        <v>5.5270489900162527</v>
      </c>
      <c r="K112">
        <f t="shared" si="16"/>
        <v>98.697303393147365</v>
      </c>
      <c r="L112">
        <f t="shared" si="17"/>
        <v>98697.303393147362</v>
      </c>
      <c r="M112">
        <f t="shared" si="18"/>
        <v>98.697303393147365</v>
      </c>
      <c r="O112">
        <f>M112-M114</f>
        <v>-585.8403263789844</v>
      </c>
    </row>
    <row r="113" spans="1:15">
      <c r="B113" t="s">
        <v>37</v>
      </c>
      <c r="C113">
        <v>13.2</v>
      </c>
      <c r="E113">
        <v>13.2</v>
      </c>
      <c r="G113">
        <f t="shared" si="28"/>
        <v>141.16438356164383</v>
      </c>
      <c r="I113">
        <f t="shared" si="24"/>
        <v>2392.6166705363362</v>
      </c>
      <c r="J113">
        <f t="shared" si="25"/>
        <v>2.3926166705363361</v>
      </c>
      <c r="K113">
        <f t="shared" si="16"/>
        <v>42.725297688148856</v>
      </c>
      <c r="L113">
        <f t="shared" si="17"/>
        <v>42725.297688148858</v>
      </c>
      <c r="M113">
        <f t="shared" si="18"/>
        <v>42.725297688148856</v>
      </c>
    </row>
    <row r="114" spans="1:15">
      <c r="B114" t="s">
        <v>38</v>
      </c>
      <c r="C114">
        <v>168</v>
      </c>
      <c r="E114">
        <v>168</v>
      </c>
      <c r="G114">
        <f t="shared" si="28"/>
        <v>2261.7123287671234</v>
      </c>
      <c r="I114">
        <f t="shared" si="24"/>
        <v>38334.107267239378</v>
      </c>
      <c r="J114">
        <f t="shared" si="25"/>
        <v>38.334107267239375</v>
      </c>
      <c r="K114">
        <f t="shared" si="16"/>
        <v>684.53762977213171</v>
      </c>
      <c r="L114">
        <f t="shared" si="17"/>
        <v>684537.62977213168</v>
      </c>
      <c r="M114">
        <f t="shared" si="18"/>
        <v>684.53762977213171</v>
      </c>
    </row>
    <row r="115" spans="1:15">
      <c r="I115">
        <f t="shared" si="24"/>
        <v>0</v>
      </c>
      <c r="J115">
        <f t="shared" si="25"/>
        <v>0</v>
      </c>
      <c r="K115">
        <f t="shared" si="16"/>
        <v>0</v>
      </c>
      <c r="L115">
        <f t="shared" si="17"/>
        <v>0</v>
      </c>
      <c r="M115">
        <f t="shared" si="18"/>
        <v>0</v>
      </c>
    </row>
    <row r="116" spans="1:15">
      <c r="B116" t="s">
        <v>39</v>
      </c>
      <c r="C116">
        <v>19.3</v>
      </c>
      <c r="E116">
        <v>19.3</v>
      </c>
      <c r="G116">
        <f>(E116+2.7599)/0.1061</f>
        <v>207.91611687087652</v>
      </c>
      <c r="I116">
        <f t="shared" si="24"/>
        <v>3524.0019808623142</v>
      </c>
      <c r="J116">
        <f t="shared" si="25"/>
        <v>3.5240019808623142</v>
      </c>
      <c r="K116">
        <f t="shared" si="16"/>
        <v>62.92860680111275</v>
      </c>
      <c r="L116">
        <f t="shared" si="17"/>
        <v>62928.60680111275</v>
      </c>
      <c r="M116">
        <f t="shared" si="18"/>
        <v>62.92860680111275</v>
      </c>
      <c r="N116">
        <f>M116-M118</f>
        <v>17.971533091582934</v>
      </c>
    </row>
    <row r="117" spans="1:15">
      <c r="B117" t="s">
        <v>40</v>
      </c>
      <c r="C117">
        <v>63.7</v>
      </c>
      <c r="E117">
        <v>63.7</v>
      </c>
      <c r="G117">
        <f t="shared" ref="G117:G119" si="29">(E117+2.7599)/0.1061</f>
        <v>626.38925541941569</v>
      </c>
      <c r="I117">
        <f t="shared" si="24"/>
        <v>10616.767041007046</v>
      </c>
      <c r="J117">
        <f t="shared" si="25"/>
        <v>10.616767041007046</v>
      </c>
      <c r="K117">
        <f t="shared" si="16"/>
        <v>189.58512573226866</v>
      </c>
      <c r="L117">
        <f t="shared" si="17"/>
        <v>189585.12573226867</v>
      </c>
      <c r="M117">
        <f t="shared" si="18"/>
        <v>189.58512573226866</v>
      </c>
      <c r="O117">
        <f>M117-M119</f>
        <v>-443.01255382902048</v>
      </c>
    </row>
    <row r="118" spans="1:15">
      <c r="B118" t="s">
        <v>15</v>
      </c>
      <c r="C118">
        <v>13</v>
      </c>
      <c r="E118">
        <v>13</v>
      </c>
      <c r="G118">
        <f t="shared" si="29"/>
        <v>148.53817153628651</v>
      </c>
      <c r="I118">
        <f t="shared" si="24"/>
        <v>2517.5961277336696</v>
      </c>
      <c r="J118">
        <f t="shared" si="25"/>
        <v>2.5175961277336696</v>
      </c>
      <c r="K118">
        <f t="shared" si="16"/>
        <v>44.957073709529816</v>
      </c>
      <c r="L118">
        <f t="shared" si="17"/>
        <v>44957.073709529817</v>
      </c>
      <c r="M118">
        <f t="shared" si="18"/>
        <v>44.957073709529816</v>
      </c>
    </row>
    <row r="119" spans="1:15">
      <c r="B119" t="s">
        <v>19</v>
      </c>
      <c r="C119">
        <v>219</v>
      </c>
      <c r="E119">
        <v>219</v>
      </c>
      <c r="G119">
        <f t="shared" si="29"/>
        <v>2090.1027332704994</v>
      </c>
      <c r="I119">
        <f t="shared" si="24"/>
        <v>35425.47005543219</v>
      </c>
      <c r="J119">
        <f t="shared" si="25"/>
        <v>35.425470055432193</v>
      </c>
      <c r="K119">
        <f t="shared" ref="K119:K147" si="30">J119/0.056</f>
        <v>632.59767956128917</v>
      </c>
      <c r="L119">
        <f t="shared" ref="L119:L147" si="31">K119*1000</f>
        <v>632597.67956128914</v>
      </c>
      <c r="M119">
        <f t="shared" ref="M119:M147" si="32">L119/1000</f>
        <v>632.59767956128917</v>
      </c>
    </row>
    <row r="120" spans="1:15">
      <c r="I120">
        <f t="shared" si="24"/>
        <v>0</v>
      </c>
      <c r="J120">
        <f t="shared" si="25"/>
        <v>0</v>
      </c>
      <c r="K120">
        <f t="shared" si="30"/>
        <v>0</v>
      </c>
      <c r="L120">
        <f t="shared" si="31"/>
        <v>0</v>
      </c>
      <c r="M120">
        <f t="shared" si="32"/>
        <v>0</v>
      </c>
    </row>
    <row r="121" spans="1:15">
      <c r="A121" s="1">
        <v>40263</v>
      </c>
      <c r="B121" t="s">
        <v>42</v>
      </c>
      <c r="I121">
        <f t="shared" si="24"/>
        <v>0</v>
      </c>
      <c r="J121">
        <f t="shared" si="25"/>
        <v>0</v>
      </c>
      <c r="K121">
        <f t="shared" si="30"/>
        <v>0</v>
      </c>
      <c r="L121">
        <f t="shared" si="31"/>
        <v>0</v>
      </c>
      <c r="M121">
        <f t="shared" si="32"/>
        <v>0</v>
      </c>
    </row>
    <row r="122" spans="1:15">
      <c r="A122" t="s">
        <v>41</v>
      </c>
      <c r="B122" t="s">
        <v>43</v>
      </c>
      <c r="C122">
        <v>21.8</v>
      </c>
      <c r="E122">
        <v>21.8</v>
      </c>
      <c r="G122">
        <f>(E122-1.8525)/0.0746</f>
        <v>267.39276139410191</v>
      </c>
      <c r="I122">
        <f t="shared" si="24"/>
        <v>4532.0807015949476</v>
      </c>
      <c r="J122">
        <f t="shared" si="25"/>
        <v>4.532080701594948</v>
      </c>
      <c r="K122">
        <f t="shared" si="30"/>
        <v>80.930012528481214</v>
      </c>
      <c r="L122">
        <f t="shared" si="31"/>
        <v>80930.012528481209</v>
      </c>
      <c r="M122">
        <f t="shared" si="32"/>
        <v>80.930012528481214</v>
      </c>
      <c r="N122">
        <f>M122-M124</f>
        <v>-5.2742958409337035</v>
      </c>
    </row>
    <row r="123" spans="1:15">
      <c r="B123" t="s">
        <v>44</v>
      </c>
      <c r="C123">
        <v>42.6</v>
      </c>
      <c r="E123">
        <v>42.6</v>
      </c>
      <c r="G123">
        <f t="shared" ref="G123:G135" si="33">(E123-1.8525)/0.0746</f>
        <v>546.21313672922258</v>
      </c>
      <c r="I123">
        <f t="shared" si="24"/>
        <v>9257.8497750715705</v>
      </c>
      <c r="J123">
        <f t="shared" si="25"/>
        <v>9.2578497750715698</v>
      </c>
      <c r="K123">
        <f t="shared" si="30"/>
        <v>165.31874598342088</v>
      </c>
      <c r="L123">
        <f t="shared" si="31"/>
        <v>165318.74598342087</v>
      </c>
      <c r="M123">
        <f t="shared" si="32"/>
        <v>165.31874598342088</v>
      </c>
      <c r="O123">
        <f>M123-M125</f>
        <v>-666.99556634577311</v>
      </c>
    </row>
    <row r="124" spans="1:15">
      <c r="B124" t="s">
        <v>104</v>
      </c>
      <c r="C124">
        <v>23.1</v>
      </c>
      <c r="E124">
        <v>23.1</v>
      </c>
      <c r="G124">
        <f t="shared" si="33"/>
        <v>284.81903485254696</v>
      </c>
      <c r="I124">
        <f t="shared" si="24"/>
        <v>4827.4412686872365</v>
      </c>
      <c r="J124">
        <f t="shared" si="25"/>
        <v>4.8274412686872363</v>
      </c>
      <c r="K124">
        <f t="shared" si="30"/>
        <v>86.204308369414932</v>
      </c>
      <c r="L124">
        <f t="shared" si="31"/>
        <v>86204.308369414925</v>
      </c>
      <c r="M124">
        <f t="shared" si="32"/>
        <v>86.204308369414917</v>
      </c>
    </row>
    <row r="125" spans="1:15">
      <c r="B125" t="s">
        <v>9</v>
      </c>
      <c r="C125">
        <v>207</v>
      </c>
      <c r="E125">
        <v>207</v>
      </c>
      <c r="G125">
        <f t="shared" si="33"/>
        <v>2749.9664879356569</v>
      </c>
      <c r="I125">
        <f t="shared" si="24"/>
        <v>46609.601490434863</v>
      </c>
      <c r="J125">
        <f t="shared" si="25"/>
        <v>46.609601490434862</v>
      </c>
      <c r="K125">
        <f t="shared" si="30"/>
        <v>832.31431232919397</v>
      </c>
      <c r="L125">
        <f t="shared" si="31"/>
        <v>832314.31232919393</v>
      </c>
      <c r="M125">
        <f t="shared" si="32"/>
        <v>832.31431232919397</v>
      </c>
    </row>
    <row r="126" spans="1:15">
      <c r="I126">
        <f t="shared" si="24"/>
        <v>0</v>
      </c>
      <c r="J126">
        <f t="shared" si="25"/>
        <v>0</v>
      </c>
      <c r="K126">
        <f t="shared" si="30"/>
        <v>0</v>
      </c>
      <c r="L126">
        <f t="shared" si="31"/>
        <v>0</v>
      </c>
      <c r="M126">
        <f t="shared" si="32"/>
        <v>0</v>
      </c>
    </row>
    <row r="127" spans="1:15">
      <c r="B127" t="s">
        <v>45</v>
      </c>
      <c r="C127">
        <v>15.5</v>
      </c>
      <c r="E127">
        <v>15.5</v>
      </c>
      <c r="G127">
        <f>(E127-10.275)/0.061</f>
        <v>85.655737704918025</v>
      </c>
      <c r="I127">
        <f t="shared" si="24"/>
        <v>1451.792164490136</v>
      </c>
      <c r="J127">
        <f t="shared" si="25"/>
        <v>1.4517921644901359</v>
      </c>
      <c r="K127">
        <f t="shared" si="30"/>
        <v>25.924860080180999</v>
      </c>
      <c r="L127">
        <f t="shared" si="31"/>
        <v>25924.860080180999</v>
      </c>
      <c r="M127">
        <f t="shared" si="32"/>
        <v>25.924860080180999</v>
      </c>
      <c r="N127">
        <f>M127-M129</f>
        <v>-50.609296233080606</v>
      </c>
    </row>
    <row r="128" spans="1:15">
      <c r="B128" t="s">
        <v>46</v>
      </c>
      <c r="C128">
        <v>53.5</v>
      </c>
      <c r="E128">
        <v>53.5</v>
      </c>
      <c r="G128">
        <f t="shared" ref="G128:G130" si="34">(E128-10.275)/0.061</f>
        <v>708.60655737704917</v>
      </c>
      <c r="I128">
        <f t="shared" si="24"/>
        <v>12010.280633509308</v>
      </c>
      <c r="J128">
        <f t="shared" si="25"/>
        <v>12.010280633509309</v>
      </c>
      <c r="K128">
        <f t="shared" si="30"/>
        <v>214.46929702695195</v>
      </c>
      <c r="L128">
        <f t="shared" si="31"/>
        <v>214469.29702695194</v>
      </c>
      <c r="M128">
        <f t="shared" si="32"/>
        <v>214.46929702695195</v>
      </c>
      <c r="O128">
        <f>M128-M130</f>
        <v>-751.69689993252086</v>
      </c>
    </row>
    <row r="129" spans="1:15">
      <c r="B129" t="s">
        <v>47</v>
      </c>
      <c r="C129">
        <v>25.7</v>
      </c>
      <c r="E129">
        <v>25.7</v>
      </c>
      <c r="G129">
        <f t="shared" si="34"/>
        <v>252.86885245901638</v>
      </c>
      <c r="I129">
        <f t="shared" si="24"/>
        <v>4285.9127535426505</v>
      </c>
      <c r="J129">
        <f t="shared" si="25"/>
        <v>4.2859127535426502</v>
      </c>
      <c r="K129">
        <f t="shared" si="30"/>
        <v>76.534156313261605</v>
      </c>
      <c r="L129">
        <f t="shared" si="31"/>
        <v>76534.156313261599</v>
      </c>
      <c r="M129">
        <f t="shared" si="32"/>
        <v>76.534156313261605</v>
      </c>
    </row>
    <row r="130" spans="1:15">
      <c r="B130" t="s">
        <v>19</v>
      </c>
      <c r="C130">
        <v>205</v>
      </c>
      <c r="E130">
        <v>205</v>
      </c>
      <c r="G130">
        <f t="shared" si="34"/>
        <v>3192.2131147540981</v>
      </c>
      <c r="I130">
        <f t="shared" si="24"/>
        <v>54105.307029730473</v>
      </c>
      <c r="J130">
        <f t="shared" si="25"/>
        <v>54.105307029730476</v>
      </c>
      <c r="K130">
        <f t="shared" si="30"/>
        <v>966.16619695947281</v>
      </c>
      <c r="L130">
        <f t="shared" si="31"/>
        <v>966166.19695947284</v>
      </c>
      <c r="M130">
        <f t="shared" si="32"/>
        <v>966.16619695947281</v>
      </c>
    </row>
    <row r="131" spans="1:15">
      <c r="I131">
        <f t="shared" si="24"/>
        <v>0</v>
      </c>
      <c r="J131">
        <f t="shared" si="25"/>
        <v>0</v>
      </c>
      <c r="K131">
        <f t="shared" si="30"/>
        <v>0</v>
      </c>
      <c r="L131">
        <f t="shared" si="31"/>
        <v>0</v>
      </c>
      <c r="M131">
        <f t="shared" si="32"/>
        <v>0</v>
      </c>
    </row>
    <row r="132" spans="1:15">
      <c r="A132" t="s">
        <v>113</v>
      </c>
      <c r="B132" t="s">
        <v>111</v>
      </c>
      <c r="C132">
        <v>13.4</v>
      </c>
      <c r="E132">
        <v>13.4</v>
      </c>
      <c r="G132">
        <f t="shared" si="33"/>
        <v>154.79222520107237</v>
      </c>
      <c r="I132">
        <f t="shared" si="24"/>
        <v>2623.5970373063114</v>
      </c>
      <c r="J132">
        <f t="shared" si="25"/>
        <v>2.6235970373063116</v>
      </c>
      <c r="K132">
        <f t="shared" si="30"/>
        <v>46.849947094755564</v>
      </c>
      <c r="L132">
        <f t="shared" si="31"/>
        <v>46849.94709475556</v>
      </c>
      <c r="M132">
        <f t="shared" si="32"/>
        <v>46.849947094755564</v>
      </c>
      <c r="N132">
        <f>M132-M134</f>
        <v>-36.514355821848881</v>
      </c>
    </row>
    <row r="133" spans="1:15">
      <c r="B133" t="s">
        <v>112</v>
      </c>
      <c r="C133">
        <v>37.1</v>
      </c>
      <c r="E133">
        <v>37.1</v>
      </c>
      <c r="G133">
        <f t="shared" si="33"/>
        <v>472.48659517426279</v>
      </c>
      <c r="I133">
        <f t="shared" si="24"/>
        <v>8008.2473758349615</v>
      </c>
      <c r="J133">
        <f t="shared" si="25"/>
        <v>8.0082473758349622</v>
      </c>
      <c r="K133">
        <f t="shared" si="30"/>
        <v>143.00441742562433</v>
      </c>
      <c r="L133">
        <f t="shared" si="31"/>
        <v>143004.41742562433</v>
      </c>
      <c r="M133">
        <f t="shared" si="32"/>
        <v>143.00441742562433</v>
      </c>
      <c r="O133">
        <f>M133-M135</f>
        <v>-681.19559360982544</v>
      </c>
    </row>
    <row r="134" spans="1:15">
      <c r="B134" t="s">
        <v>104</v>
      </c>
      <c r="C134">
        <v>22.4</v>
      </c>
      <c r="E134">
        <v>22.4</v>
      </c>
      <c r="G134">
        <f t="shared" si="33"/>
        <v>275.43565683646113</v>
      </c>
      <c r="I134">
        <f t="shared" si="24"/>
        <v>4668.4009633298492</v>
      </c>
      <c r="J134">
        <f t="shared" si="25"/>
        <v>4.6684009633298489</v>
      </c>
      <c r="K134">
        <f t="shared" si="30"/>
        <v>83.364302916604444</v>
      </c>
      <c r="L134">
        <f t="shared" si="31"/>
        <v>83364.302916604443</v>
      </c>
      <c r="M134">
        <f t="shared" si="32"/>
        <v>83.364302916604444</v>
      </c>
    </row>
    <row r="135" spans="1:15">
      <c r="B135" t="s">
        <v>19</v>
      </c>
      <c r="C135">
        <v>205</v>
      </c>
      <c r="E135">
        <v>205</v>
      </c>
      <c r="G135">
        <f t="shared" si="33"/>
        <v>2723.1568364611262</v>
      </c>
      <c r="I135">
        <f t="shared" si="24"/>
        <v>46155.200617985189</v>
      </c>
      <c r="J135">
        <f t="shared" si="25"/>
        <v>46.155200617985187</v>
      </c>
      <c r="K135">
        <f t="shared" si="30"/>
        <v>824.20001103544973</v>
      </c>
      <c r="L135">
        <f t="shared" si="31"/>
        <v>824200.01103544969</v>
      </c>
      <c r="M135">
        <f t="shared" si="32"/>
        <v>824.20001103544973</v>
      </c>
    </row>
    <row r="136" spans="1:15">
      <c r="I136">
        <f t="shared" si="24"/>
        <v>0</v>
      </c>
      <c r="J136">
        <f t="shared" si="25"/>
        <v>0</v>
      </c>
      <c r="K136">
        <f t="shared" si="30"/>
        <v>0</v>
      </c>
      <c r="L136">
        <f t="shared" si="31"/>
        <v>0</v>
      </c>
      <c r="M136">
        <f t="shared" si="32"/>
        <v>0</v>
      </c>
    </row>
    <row r="137" spans="1:15">
      <c r="A137" s="1">
        <v>40264</v>
      </c>
      <c r="B137" t="s">
        <v>115</v>
      </c>
      <c r="C137">
        <v>78.3</v>
      </c>
      <c r="E137">
        <v>78.3</v>
      </c>
      <c r="G137">
        <f>(E137-2.4819)/0.02</f>
        <v>3790.9050000000002</v>
      </c>
      <c r="I137">
        <f t="shared" si="24"/>
        <v>64252.627118644072</v>
      </c>
      <c r="J137">
        <f t="shared" si="25"/>
        <v>64.252627118644071</v>
      </c>
      <c r="K137">
        <f t="shared" si="30"/>
        <v>1147.3683414043585</v>
      </c>
      <c r="L137">
        <f t="shared" si="31"/>
        <v>1147368.3414043584</v>
      </c>
      <c r="M137">
        <f t="shared" si="32"/>
        <v>1147.3683414043585</v>
      </c>
      <c r="N137">
        <f>M137-M139</f>
        <v>851.99757869249402</v>
      </c>
    </row>
    <row r="138" spans="1:15">
      <c r="A138" t="s">
        <v>114</v>
      </c>
      <c r="B138" t="s">
        <v>116</v>
      </c>
      <c r="C138">
        <v>167</v>
      </c>
      <c r="E138">
        <v>167</v>
      </c>
      <c r="G138">
        <f t="shared" ref="G138:G140" si="35">(E138-2.4819)/0.02</f>
        <v>8225.9050000000007</v>
      </c>
      <c r="I138">
        <f t="shared" si="24"/>
        <v>139422.11864406781</v>
      </c>
      <c r="J138">
        <f t="shared" si="25"/>
        <v>139.42211864406781</v>
      </c>
      <c r="K138">
        <f t="shared" si="30"/>
        <v>2489.6806900726392</v>
      </c>
      <c r="L138">
        <f t="shared" si="31"/>
        <v>2489680.6900726394</v>
      </c>
      <c r="M138">
        <f t="shared" si="32"/>
        <v>2489.6806900726392</v>
      </c>
      <c r="O138">
        <f>M138-M140</f>
        <v>-1815.9806295399517</v>
      </c>
    </row>
    <row r="139" spans="1:15">
      <c r="B139" t="s">
        <v>104</v>
      </c>
      <c r="C139">
        <v>22</v>
      </c>
      <c r="E139">
        <v>22</v>
      </c>
      <c r="G139">
        <f t="shared" si="35"/>
        <v>975.90499999999997</v>
      </c>
      <c r="I139">
        <f t="shared" si="24"/>
        <v>16540.762711864405</v>
      </c>
      <c r="J139">
        <f t="shared" si="25"/>
        <v>16.540762711864406</v>
      </c>
      <c r="K139">
        <f t="shared" si="30"/>
        <v>295.37076271186442</v>
      </c>
      <c r="L139">
        <f t="shared" si="31"/>
        <v>295370.76271186443</v>
      </c>
      <c r="M139">
        <f t="shared" si="32"/>
        <v>295.37076271186442</v>
      </c>
    </row>
    <row r="140" spans="1:15">
      <c r="B140" t="s">
        <v>117</v>
      </c>
      <c r="C140">
        <v>287</v>
      </c>
      <c r="E140">
        <v>287</v>
      </c>
      <c r="G140">
        <f t="shared" si="35"/>
        <v>14225.905000000001</v>
      </c>
      <c r="I140">
        <f t="shared" si="24"/>
        <v>241117.03389830509</v>
      </c>
      <c r="J140">
        <f t="shared" si="25"/>
        <v>241.1170338983051</v>
      </c>
      <c r="K140">
        <f t="shared" si="30"/>
        <v>4305.6613196125909</v>
      </c>
      <c r="L140">
        <f t="shared" si="31"/>
        <v>4305661.3196125906</v>
      </c>
      <c r="M140">
        <f t="shared" si="32"/>
        <v>4305.6613196125909</v>
      </c>
    </row>
    <row r="141" spans="1:15">
      <c r="I141">
        <f t="shared" si="24"/>
        <v>0</v>
      </c>
      <c r="J141">
        <f t="shared" si="25"/>
        <v>0</v>
      </c>
      <c r="K141">
        <f t="shared" si="30"/>
        <v>0</v>
      </c>
      <c r="L141">
        <f t="shared" si="31"/>
        <v>0</v>
      </c>
      <c r="M141">
        <f t="shared" si="32"/>
        <v>0</v>
      </c>
    </row>
    <row r="142" spans="1:15">
      <c r="A142" s="1">
        <v>40291</v>
      </c>
      <c r="B142" t="s">
        <v>119</v>
      </c>
      <c r="C142">
        <v>0.38</v>
      </c>
      <c r="E142">
        <v>0.38</v>
      </c>
      <c r="G142">
        <f>(E142+3.8007)/0.1067</f>
        <v>39.18181818181818</v>
      </c>
      <c r="I142">
        <f t="shared" si="24"/>
        <v>664.0986132511556</v>
      </c>
      <c r="J142">
        <f t="shared" si="25"/>
        <v>0.6640986132511556</v>
      </c>
      <c r="K142">
        <f t="shared" si="30"/>
        <v>11.85890380805635</v>
      </c>
      <c r="L142">
        <f t="shared" si="31"/>
        <v>11858.90380805635</v>
      </c>
      <c r="M142">
        <f t="shared" si="32"/>
        <v>11.85890380805635</v>
      </c>
      <c r="N142">
        <f>M142-M146</f>
        <v>-62.177905966128918</v>
      </c>
    </row>
    <row r="143" spans="1:15">
      <c r="A143" t="s">
        <v>118</v>
      </c>
      <c r="B143" t="s">
        <v>120</v>
      </c>
      <c r="C143">
        <v>68.2</v>
      </c>
      <c r="E143">
        <v>68.2</v>
      </c>
      <c r="G143">
        <f t="shared" ref="G143:G147" si="36">(E143+3.8007)/0.1067</f>
        <v>674.79568884723528</v>
      </c>
      <c r="I143">
        <f t="shared" si="24"/>
        <v>11437.215065207378</v>
      </c>
      <c r="J143">
        <f t="shared" si="25"/>
        <v>11.437215065207377</v>
      </c>
      <c r="K143">
        <f t="shared" si="30"/>
        <v>204.23598330727458</v>
      </c>
      <c r="L143">
        <f t="shared" si="31"/>
        <v>204235.98330727458</v>
      </c>
      <c r="M143">
        <f t="shared" si="32"/>
        <v>204.23598330727458</v>
      </c>
      <c r="O143">
        <f>M143-M147</f>
        <v>-527.03717739538115</v>
      </c>
    </row>
    <row r="144" spans="1:15">
      <c r="B144" t="s">
        <v>121</v>
      </c>
      <c r="C144">
        <v>15.5</v>
      </c>
      <c r="E144">
        <v>15.5</v>
      </c>
      <c r="G144">
        <f t="shared" si="36"/>
        <v>180.88753514526709</v>
      </c>
      <c r="I144">
        <f t="shared" si="24"/>
        <v>3065.8904261909679</v>
      </c>
      <c r="J144">
        <f t="shared" si="25"/>
        <v>3.0658904261909679</v>
      </c>
      <c r="K144">
        <f t="shared" si="30"/>
        <v>54.748043324838711</v>
      </c>
      <c r="L144">
        <f t="shared" si="31"/>
        <v>54748.043324838713</v>
      </c>
      <c r="M144">
        <f t="shared" si="32"/>
        <v>54.748043324838711</v>
      </c>
      <c r="N144">
        <f>M144-M146</f>
        <v>-19.288766449346561</v>
      </c>
    </row>
    <row r="145" spans="1:15">
      <c r="A145" t="s">
        <v>123</v>
      </c>
      <c r="B145" t="s">
        <v>122</v>
      </c>
      <c r="C145">
        <v>44.5</v>
      </c>
      <c r="E145">
        <v>44.5</v>
      </c>
      <c r="G145">
        <f t="shared" si="36"/>
        <v>452.6776007497657</v>
      </c>
      <c r="I145">
        <f t="shared" si="24"/>
        <v>7672.501707623147</v>
      </c>
      <c r="J145">
        <f t="shared" si="25"/>
        <v>7.6725017076231472</v>
      </c>
      <c r="K145">
        <f t="shared" si="30"/>
        <v>137.00895906469904</v>
      </c>
      <c r="L145">
        <f t="shared" si="31"/>
        <v>137008.95906469904</v>
      </c>
      <c r="M145">
        <f t="shared" si="32"/>
        <v>137.00895906469904</v>
      </c>
      <c r="O145">
        <f>M145-M147</f>
        <v>-594.2642016379566</v>
      </c>
    </row>
    <row r="146" spans="1:15">
      <c r="B146" t="s">
        <v>104</v>
      </c>
      <c r="C146">
        <v>22.3</v>
      </c>
      <c r="E146">
        <v>22.3</v>
      </c>
      <c r="G146">
        <f t="shared" si="36"/>
        <v>244.61761949390814</v>
      </c>
      <c r="I146">
        <f t="shared" si="24"/>
        <v>4146.0613473543754</v>
      </c>
      <c r="J146">
        <f t="shared" si="25"/>
        <v>4.146061347354375</v>
      </c>
      <c r="K146">
        <f t="shared" si="30"/>
        <v>74.036809774185272</v>
      </c>
      <c r="L146">
        <f t="shared" si="31"/>
        <v>74036.809774185269</v>
      </c>
      <c r="M146">
        <f t="shared" si="32"/>
        <v>74.036809774185272</v>
      </c>
    </row>
    <row r="147" spans="1:15">
      <c r="B147" t="s">
        <v>9</v>
      </c>
      <c r="C147">
        <v>254</v>
      </c>
      <c r="E147">
        <v>254</v>
      </c>
      <c r="G147">
        <f t="shared" si="36"/>
        <v>2416.1265229615747</v>
      </c>
      <c r="I147">
        <f t="shared" si="24"/>
        <v>40951.29699934872</v>
      </c>
      <c r="J147">
        <f t="shared" si="25"/>
        <v>40.95129699934872</v>
      </c>
      <c r="K147">
        <f t="shared" si="30"/>
        <v>731.27316070265567</v>
      </c>
      <c r="L147">
        <f t="shared" si="31"/>
        <v>731273.16070265567</v>
      </c>
      <c r="M147">
        <f t="shared" si="32"/>
        <v>731.27316070265567</v>
      </c>
    </row>
  </sheetData>
  <mergeCells count="1">
    <mergeCell ref="G21:H21"/>
  </mergeCells>
  <phoneticPr fontId="4" type="noConversion"/>
  <printOptions gridLines="1"/>
  <pageMargins left="0.75" right="0.75" top="1" bottom="1" header="0.5" footer="0.5"/>
  <pageSetup scale="26" fitToHeight="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L134"/>
  <sheetViews>
    <sheetView workbookViewId="0">
      <selection activeCell="A8" sqref="A8:K136"/>
    </sheetView>
  </sheetViews>
  <sheetFormatPr baseColWidth="10" defaultRowHeight="13" x14ac:dyDescent="0"/>
  <cols>
    <col min="2" max="2" width="16.5703125" customWidth="1"/>
    <col min="4" max="4" width="21.140625" customWidth="1"/>
  </cols>
  <sheetData>
    <row r="8" spans="1:12">
      <c r="A8" s="5" t="s">
        <v>0</v>
      </c>
      <c r="B8" s="5" t="s">
        <v>1</v>
      </c>
      <c r="C8" s="5" t="s">
        <v>2</v>
      </c>
      <c r="D8" s="5" t="s">
        <v>4</v>
      </c>
      <c r="E8" s="22" t="s">
        <v>73</v>
      </c>
      <c r="F8" s="22"/>
      <c r="G8" s="5" t="s">
        <v>74</v>
      </c>
      <c r="H8" s="5" t="s">
        <v>75</v>
      </c>
      <c r="I8" s="5" t="s">
        <v>76</v>
      </c>
      <c r="J8" s="5" t="s">
        <v>77</v>
      </c>
      <c r="K8" s="5" t="s">
        <v>3</v>
      </c>
      <c r="L8" s="5"/>
    </row>
    <row r="9" spans="1:12">
      <c r="A9" s="1">
        <v>39875</v>
      </c>
      <c r="B9" t="s">
        <v>80</v>
      </c>
      <c r="C9">
        <v>60.800000000000004</v>
      </c>
      <c r="D9">
        <f>C9-C11</f>
        <v>-34.1</v>
      </c>
      <c r="E9">
        <f>(D9-0.3647)/0.0617</f>
        <v>-558.58508914100491</v>
      </c>
      <c r="G9">
        <f>(E9/(5.9*10^13))*(1*10^15)</f>
        <v>-9467.543883745846</v>
      </c>
      <c r="H9">
        <f>G9/1000</f>
        <v>-9.4675438837458454</v>
      </c>
      <c r="I9">
        <f>H9/0.056</f>
        <v>-169.06328363831867</v>
      </c>
      <c r="J9">
        <f>I9*1000</f>
        <v>-169063.28363831865</v>
      </c>
      <c r="K9" s="7">
        <f>J9/1000</f>
        <v>-169.06328363831864</v>
      </c>
    </row>
    <row r="10" spans="1:12">
      <c r="A10" t="s">
        <v>94</v>
      </c>
      <c r="B10" t="s">
        <v>81</v>
      </c>
      <c r="C10">
        <v>122</v>
      </c>
      <c r="E10">
        <f t="shared" ref="E10:E12" si="0">(C10-0.3647)/0.0617</f>
        <v>1971.3987034035658</v>
      </c>
      <c r="G10">
        <f t="shared" ref="G10:G74" si="1">(E10/(5.9*10^13))*(1*10^15)</f>
        <v>33413.537345823148</v>
      </c>
      <c r="H10">
        <f t="shared" ref="H10:H73" si="2">G10/1000</f>
        <v>33.413537345823151</v>
      </c>
      <c r="I10">
        <v>596.67030974684201</v>
      </c>
      <c r="J10">
        <v>596670.30974684202</v>
      </c>
      <c r="K10">
        <v>596.67030974684201</v>
      </c>
    </row>
    <row r="11" spans="1:12">
      <c r="B11" t="s">
        <v>82</v>
      </c>
      <c r="C11">
        <v>94.9</v>
      </c>
      <c r="E11">
        <f t="shared" si="0"/>
        <v>1532.1766612641816</v>
      </c>
      <c r="G11">
        <f t="shared" si="1"/>
        <v>25969.095953630196</v>
      </c>
      <c r="H11">
        <f t="shared" si="2"/>
        <v>25.969095953630195</v>
      </c>
      <c r="I11">
        <v>463.73385631482489</v>
      </c>
      <c r="J11">
        <v>463733.85631482489</v>
      </c>
      <c r="K11">
        <v>463.73385631482489</v>
      </c>
    </row>
    <row r="12" spans="1:12">
      <c r="B12" t="s">
        <v>83</v>
      </c>
      <c r="C12">
        <v>186</v>
      </c>
      <c r="E12">
        <f t="shared" si="0"/>
        <v>3008.6758508914104</v>
      </c>
      <c r="G12">
        <f t="shared" si="1"/>
        <v>50994.505947312042</v>
      </c>
      <c r="H12">
        <f t="shared" si="2"/>
        <v>50.994505947312042</v>
      </c>
      <c r="I12">
        <v>910.616177630572</v>
      </c>
      <c r="J12">
        <v>910616.177630572</v>
      </c>
      <c r="K12">
        <v>910.616177630572</v>
      </c>
    </row>
    <row r="13" spans="1:12">
      <c r="E13" s="4"/>
      <c r="G13" s="4"/>
      <c r="H13" s="4"/>
      <c r="I13" s="4"/>
      <c r="J13" s="4"/>
      <c r="K13" s="4"/>
    </row>
    <row r="14" spans="1:12">
      <c r="A14" s="1">
        <v>39877</v>
      </c>
      <c r="B14" t="s">
        <v>84</v>
      </c>
      <c r="C14">
        <v>76.099999999999994</v>
      </c>
      <c r="D14">
        <f>C14-C18</f>
        <v>8.6999999999999886</v>
      </c>
      <c r="E14">
        <f>(D14-2.5473)/0.0377</f>
        <v>163.20159151193604</v>
      </c>
      <c r="G14">
        <f t="shared" si="1"/>
        <v>2766.1286696938309</v>
      </c>
      <c r="H14">
        <f t="shared" si="2"/>
        <v>2.7661286696938308</v>
      </c>
      <c r="I14">
        <v>590.4963680387408</v>
      </c>
      <c r="J14">
        <v>590496.36803874094</v>
      </c>
      <c r="K14" s="7">
        <v>590.4963680387408</v>
      </c>
    </row>
    <row r="15" spans="1:12">
      <c r="A15" t="s">
        <v>94</v>
      </c>
      <c r="B15" t="s">
        <v>85</v>
      </c>
      <c r="C15">
        <v>154.9</v>
      </c>
      <c r="E15">
        <f t="shared" ref="E15:E19" si="3">(C15-2.5473)/0.0377</f>
        <v>4041.185676392573</v>
      </c>
      <c r="G15">
        <f t="shared" si="1"/>
        <v>68494.672481230053</v>
      </c>
      <c r="H15">
        <f t="shared" si="2"/>
        <v>68.494672481230054</v>
      </c>
      <c r="I15">
        <v>1223.1191514505372</v>
      </c>
      <c r="J15">
        <v>1223119.1514505399</v>
      </c>
      <c r="K15">
        <v>1223.1191514505372</v>
      </c>
    </row>
    <row r="16" spans="1:12">
      <c r="B16" t="s">
        <v>87</v>
      </c>
      <c r="C16">
        <v>103.5</v>
      </c>
      <c r="D16">
        <f>C16-C18</f>
        <v>36.099999999999994</v>
      </c>
      <c r="E16">
        <f>(D16-2.5473)/0.0377</f>
        <v>889.99204244031819</v>
      </c>
      <c r="G16">
        <f t="shared" si="1"/>
        <v>15084.610888818952</v>
      </c>
      <c r="H16">
        <f t="shared" si="2"/>
        <v>15.084610888818952</v>
      </c>
      <c r="I16">
        <v>810.46926480883212</v>
      </c>
      <c r="J16">
        <v>810469.2648088322</v>
      </c>
      <c r="K16" s="7">
        <v>810.46926480883212</v>
      </c>
    </row>
    <row r="17" spans="1:11">
      <c r="B17" t="s">
        <v>89</v>
      </c>
      <c r="C17">
        <v>135</v>
      </c>
      <c r="E17">
        <f t="shared" si="3"/>
        <v>3513.3342175066314</v>
      </c>
      <c r="G17">
        <f t="shared" si="1"/>
        <v>59548.037584858153</v>
      </c>
      <c r="H17">
        <f t="shared" si="2"/>
        <v>59.54803758485815</v>
      </c>
      <c r="I17">
        <v>1063.3578140153238</v>
      </c>
      <c r="J17">
        <v>1063357.81401532</v>
      </c>
      <c r="K17">
        <v>1063.3578140153238</v>
      </c>
    </row>
    <row r="18" spans="1:11">
      <c r="B18" t="s">
        <v>82</v>
      </c>
      <c r="C18">
        <v>67.400000000000006</v>
      </c>
      <c r="E18">
        <f t="shared" si="3"/>
        <v>1720.2307692307693</v>
      </c>
      <c r="G18">
        <f t="shared" si="1"/>
        <v>29156.453715775755</v>
      </c>
      <c r="H18">
        <f t="shared" si="2"/>
        <v>29.156453715775754</v>
      </c>
      <c r="I18">
        <v>520.65095921028126</v>
      </c>
      <c r="J18">
        <v>520650.95921028132</v>
      </c>
      <c r="K18">
        <v>520.65095921028126</v>
      </c>
    </row>
    <row r="19" spans="1:11">
      <c r="B19" t="s">
        <v>83</v>
      </c>
      <c r="C19">
        <v>184</v>
      </c>
      <c r="E19">
        <f t="shared" si="3"/>
        <v>4813.0689655172418</v>
      </c>
      <c r="G19">
        <f t="shared" si="1"/>
        <v>81577.440093512574</v>
      </c>
      <c r="H19">
        <f t="shared" si="2"/>
        <v>81.577440093512578</v>
      </c>
      <c r="I19">
        <v>1456.740001669868</v>
      </c>
      <c r="J19">
        <f>I19*1000</f>
        <v>1456740.0016698679</v>
      </c>
      <c r="K19">
        <v>1456.740001669868</v>
      </c>
    </row>
    <row r="21" spans="1:11">
      <c r="A21" s="1">
        <v>39913</v>
      </c>
      <c r="B21" t="s">
        <v>48</v>
      </c>
      <c r="C21">
        <v>74.84</v>
      </c>
      <c r="D21">
        <f>C21-C25</f>
        <v>58.74</v>
      </c>
      <c r="E21">
        <f>(D21-0.0008)/0.0524</f>
        <v>1120.9770992366412</v>
      </c>
      <c r="G21">
        <f t="shared" si="1"/>
        <v>18999.611851468493</v>
      </c>
      <c r="H21">
        <f t="shared" si="2"/>
        <v>18.999611851468494</v>
      </c>
      <c r="I21">
        <f t="shared" ref="I21:I26" si="4">H21/0.056</f>
        <v>339.27878306193736</v>
      </c>
      <c r="J21">
        <f t="shared" ref="J21:J26" si="5">I21*1000</f>
        <v>339278.78306193737</v>
      </c>
      <c r="K21" s="7">
        <f t="shared" ref="K21:K26" si="6">J21/1000</f>
        <v>339.27878306193736</v>
      </c>
    </row>
    <row r="22" spans="1:11">
      <c r="A22" t="s">
        <v>95</v>
      </c>
      <c r="B22" t="s">
        <v>49</v>
      </c>
      <c r="C22">
        <v>124.96</v>
      </c>
      <c r="E22">
        <f t="shared" ref="E22:E26" si="7">(C22-0.0008)/0.0524</f>
        <v>2384.7175572519081</v>
      </c>
      <c r="G22">
        <f t="shared" si="1"/>
        <v>40418.94164833743</v>
      </c>
      <c r="H22">
        <f t="shared" si="2"/>
        <v>40.41894164833743</v>
      </c>
      <c r="I22">
        <f t="shared" si="4"/>
        <v>721.76681514888264</v>
      </c>
      <c r="J22">
        <f t="shared" si="5"/>
        <v>721766.81514888268</v>
      </c>
      <c r="K22">
        <f t="shared" si="6"/>
        <v>721.76681514888264</v>
      </c>
    </row>
    <row r="23" spans="1:11">
      <c r="B23" t="s">
        <v>50</v>
      </c>
      <c r="C23">
        <v>30.25</v>
      </c>
      <c r="D23">
        <f>C23-C25</f>
        <v>14.149999999999999</v>
      </c>
      <c r="E23">
        <f>(D23-0.0008)/0.0524</f>
        <v>270.02290076335873</v>
      </c>
      <c r="G23">
        <f t="shared" si="1"/>
        <v>4576.6593349721816</v>
      </c>
      <c r="H23">
        <f t="shared" si="2"/>
        <v>4.5766593349721818</v>
      </c>
      <c r="I23">
        <f t="shared" si="4"/>
        <v>81.726059553074677</v>
      </c>
      <c r="J23">
        <f t="shared" si="5"/>
        <v>81726.05955307468</v>
      </c>
      <c r="K23" s="7">
        <f t="shared" si="6"/>
        <v>81.726059553074677</v>
      </c>
    </row>
    <row r="24" spans="1:11">
      <c r="B24" t="s">
        <v>51</v>
      </c>
      <c r="C24">
        <v>48.69</v>
      </c>
      <c r="E24">
        <f t="shared" si="7"/>
        <v>929.18320610687022</v>
      </c>
      <c r="G24">
        <f t="shared" si="1"/>
        <v>15748.867900116446</v>
      </c>
      <c r="H24">
        <f t="shared" si="2"/>
        <v>15.748867900116446</v>
      </c>
      <c r="I24">
        <f t="shared" si="4"/>
        <v>281.2297839306508</v>
      </c>
      <c r="J24">
        <f t="shared" si="5"/>
        <v>281229.7839306508</v>
      </c>
      <c r="K24">
        <f t="shared" si="6"/>
        <v>281.2297839306508</v>
      </c>
    </row>
    <row r="25" spans="1:11">
      <c r="B25" t="s">
        <v>52</v>
      </c>
      <c r="C25">
        <v>16.100000000000001</v>
      </c>
      <c r="E25">
        <f t="shared" si="7"/>
        <v>307.23664122137404</v>
      </c>
      <c r="G25">
        <f t="shared" si="1"/>
        <v>5207.4006986673567</v>
      </c>
      <c r="H25">
        <f t="shared" si="2"/>
        <v>5.2074006986673567</v>
      </c>
      <c r="I25">
        <f t="shared" si="4"/>
        <v>92.989298190488512</v>
      </c>
      <c r="J25">
        <f t="shared" si="5"/>
        <v>92989.298190488509</v>
      </c>
      <c r="K25">
        <f t="shared" si="6"/>
        <v>92.989298190488512</v>
      </c>
    </row>
    <row r="26" spans="1:11">
      <c r="B26" t="s">
        <v>53</v>
      </c>
      <c r="C26">
        <v>184</v>
      </c>
      <c r="E26">
        <f t="shared" si="7"/>
        <v>3511.4351145038167</v>
      </c>
      <c r="G26">
        <f t="shared" si="1"/>
        <v>59515.849398369777</v>
      </c>
      <c r="H26">
        <f t="shared" si="2"/>
        <v>59.515849398369774</v>
      </c>
      <c r="I26">
        <f t="shared" si="4"/>
        <v>1062.7830249708888</v>
      </c>
      <c r="J26">
        <f t="shared" si="5"/>
        <v>1062783.0249708889</v>
      </c>
      <c r="K26">
        <f t="shared" si="6"/>
        <v>1062.7830249708888</v>
      </c>
    </row>
    <row r="28" spans="1:11">
      <c r="A28" s="1">
        <v>39949</v>
      </c>
      <c r="B28" t="s">
        <v>54</v>
      </c>
      <c r="C28">
        <v>24.8</v>
      </c>
      <c r="D28">
        <f>C28-C32</f>
        <v>13.100000000000001</v>
      </c>
      <c r="E28">
        <f>(D28-6.3974)/0.0423</f>
        <v>158.45390070921991</v>
      </c>
      <c r="G28">
        <f t="shared" si="1"/>
        <v>2685.6593340545746</v>
      </c>
      <c r="H28">
        <f t="shared" si="2"/>
        <v>2.6856593340545745</v>
      </c>
      <c r="I28">
        <f t="shared" ref="I28:I33" si="8">H28/0.056</f>
        <v>47.958202393831684</v>
      </c>
      <c r="J28">
        <f t="shared" ref="J28:J33" si="9">I28*1000</f>
        <v>47958.202393831685</v>
      </c>
      <c r="K28" s="7">
        <f t="shared" ref="K28:K33" si="10">J28/1000</f>
        <v>47.958202393831684</v>
      </c>
    </row>
    <row r="29" spans="1:11">
      <c r="A29" t="s">
        <v>96</v>
      </c>
      <c r="B29" t="s">
        <v>55</v>
      </c>
      <c r="C29">
        <v>0.09</v>
      </c>
      <c r="E29">
        <f t="shared" ref="E29:E33" si="11">(C29-6.3974)/0.0423</f>
        <v>-149.11111111111114</v>
      </c>
      <c r="G29">
        <f t="shared" si="1"/>
        <v>-2527.306967984935</v>
      </c>
      <c r="H29">
        <f t="shared" si="2"/>
        <v>-2.5273069679849351</v>
      </c>
      <c r="I29">
        <f t="shared" si="8"/>
        <v>-45.130481571159557</v>
      </c>
      <c r="J29">
        <f t="shared" si="9"/>
        <v>-45130.481571159558</v>
      </c>
      <c r="K29">
        <f t="shared" si="10"/>
        <v>-45.130481571159557</v>
      </c>
    </row>
    <row r="30" spans="1:11">
      <c r="B30" t="s">
        <v>56</v>
      </c>
      <c r="C30">
        <v>29.9</v>
      </c>
      <c r="D30">
        <f>C30-C32</f>
        <v>18.2</v>
      </c>
      <c r="E30">
        <f>(D30-6.3974)/0.0423</f>
        <v>279.02127659574467</v>
      </c>
      <c r="G30">
        <f t="shared" si="1"/>
        <v>4729.1741795888929</v>
      </c>
      <c r="H30">
        <f t="shared" si="2"/>
        <v>4.7291741795888926</v>
      </c>
      <c r="I30">
        <f t="shared" si="8"/>
        <v>84.449538921230229</v>
      </c>
      <c r="J30">
        <f t="shared" si="9"/>
        <v>84449.538921230225</v>
      </c>
      <c r="K30" s="7">
        <f t="shared" si="10"/>
        <v>84.449538921230229</v>
      </c>
    </row>
    <row r="31" spans="1:11">
      <c r="B31" t="s">
        <v>57</v>
      </c>
      <c r="C31">
        <v>39.9</v>
      </c>
      <c r="E31">
        <f t="shared" si="11"/>
        <v>792.02364066193866</v>
      </c>
      <c r="G31">
        <f t="shared" si="1"/>
        <v>13424.129502744723</v>
      </c>
      <c r="H31">
        <f t="shared" si="2"/>
        <v>13.424129502744723</v>
      </c>
      <c r="I31">
        <f t="shared" si="8"/>
        <v>239.71659826329861</v>
      </c>
      <c r="J31">
        <f t="shared" si="9"/>
        <v>239716.5982632986</v>
      </c>
      <c r="K31">
        <f t="shared" si="10"/>
        <v>239.71659826329861</v>
      </c>
    </row>
    <row r="32" spans="1:11">
      <c r="B32" t="s">
        <v>58</v>
      </c>
      <c r="C32">
        <v>11.7</v>
      </c>
      <c r="E32">
        <f t="shared" si="11"/>
        <v>125.35697399527186</v>
      </c>
      <c r="G32">
        <f t="shared" si="1"/>
        <v>2124.6944744961334</v>
      </c>
      <c r="H32">
        <f t="shared" si="2"/>
        <v>2.1246944744961334</v>
      </c>
      <c r="I32">
        <f t="shared" si="8"/>
        <v>37.940972758859523</v>
      </c>
      <c r="J32">
        <f t="shared" si="9"/>
        <v>37940.97275885952</v>
      </c>
      <c r="K32">
        <f t="shared" si="10"/>
        <v>37.940972758859523</v>
      </c>
    </row>
    <row r="33" spans="1:11">
      <c r="B33" t="s">
        <v>59</v>
      </c>
      <c r="C33">
        <v>151</v>
      </c>
      <c r="E33">
        <f t="shared" si="11"/>
        <v>3418.5011820330969</v>
      </c>
      <c r="G33">
        <f t="shared" si="1"/>
        <v>57940.698000560966</v>
      </c>
      <c r="H33">
        <f t="shared" si="2"/>
        <v>57.940698000560964</v>
      </c>
      <c r="I33">
        <f t="shared" si="8"/>
        <v>1034.6553214385885</v>
      </c>
      <c r="J33">
        <f t="shared" si="9"/>
        <v>1034655.3214385886</v>
      </c>
      <c r="K33">
        <f t="shared" si="10"/>
        <v>1034.6553214385885</v>
      </c>
    </row>
    <row r="35" spans="1:11">
      <c r="A35" s="1">
        <v>40005</v>
      </c>
      <c r="B35" t="s">
        <v>60</v>
      </c>
      <c r="C35">
        <v>48.9</v>
      </c>
      <c r="D35">
        <f>C35-C39</f>
        <v>32.599999999999994</v>
      </c>
      <c r="E35">
        <f>(D35-1.9161)/0.0612</f>
        <v>501.37091503267965</v>
      </c>
      <c r="G35">
        <f t="shared" si="1"/>
        <v>8497.8121191979608</v>
      </c>
      <c r="H35">
        <f t="shared" si="2"/>
        <v>8.4978121191979614</v>
      </c>
      <c r="I35">
        <f t="shared" ref="I35:I40" si="12">H35/0.056</f>
        <v>151.74664498567788</v>
      </c>
      <c r="J35">
        <f t="shared" ref="J35:J40" si="13">I35*1000</f>
        <v>151746.64498567788</v>
      </c>
      <c r="K35" s="7">
        <f t="shared" ref="K35:K40" si="14">J35/1000</f>
        <v>151.74664498567788</v>
      </c>
    </row>
    <row r="36" spans="1:11">
      <c r="A36" t="s">
        <v>97</v>
      </c>
      <c r="B36" t="s">
        <v>61</v>
      </c>
      <c r="C36">
        <v>38.6</v>
      </c>
      <c r="E36">
        <f t="shared" ref="E36:E40" si="15">(C36-1.9161)/0.0612</f>
        <v>599.41013071895429</v>
      </c>
      <c r="G36">
        <f t="shared" si="1"/>
        <v>10159.493740999225</v>
      </c>
      <c r="H36">
        <f t="shared" si="2"/>
        <v>10.159493740999226</v>
      </c>
      <c r="I36">
        <f t="shared" si="12"/>
        <v>181.41953108927189</v>
      </c>
      <c r="J36">
        <f t="shared" si="13"/>
        <v>181419.53108927188</v>
      </c>
      <c r="K36">
        <f t="shared" si="14"/>
        <v>181.41953108927189</v>
      </c>
    </row>
    <row r="37" spans="1:11">
      <c r="B37" t="s">
        <v>62</v>
      </c>
      <c r="C37">
        <v>26.5</v>
      </c>
      <c r="D37">
        <f>C37-C39</f>
        <v>10.199999999999999</v>
      </c>
      <c r="E37">
        <f>(D37-1.9161)/0.0612</f>
        <v>135.35784313725489</v>
      </c>
      <c r="G37">
        <f t="shared" si="1"/>
        <v>2294.2007311399134</v>
      </c>
      <c r="H37">
        <f t="shared" si="2"/>
        <v>2.2942007311399135</v>
      </c>
      <c r="I37">
        <f t="shared" si="12"/>
        <v>40.967870198927024</v>
      </c>
      <c r="J37">
        <f t="shared" si="13"/>
        <v>40967.870198927027</v>
      </c>
      <c r="K37" s="7">
        <f t="shared" si="14"/>
        <v>40.967870198927024</v>
      </c>
    </row>
    <row r="38" spans="1:11">
      <c r="B38" t="s">
        <v>63</v>
      </c>
      <c r="C38">
        <v>49.2</v>
      </c>
      <c r="E38">
        <f t="shared" si="15"/>
        <v>772.61274509803934</v>
      </c>
      <c r="G38">
        <f t="shared" si="1"/>
        <v>13095.131272848124</v>
      </c>
      <c r="H38">
        <f t="shared" si="2"/>
        <v>13.095131272848125</v>
      </c>
      <c r="I38">
        <f t="shared" si="12"/>
        <v>233.84162987228794</v>
      </c>
      <c r="J38">
        <f t="shared" si="13"/>
        <v>233841.62987228794</v>
      </c>
      <c r="K38">
        <f t="shared" si="14"/>
        <v>233.84162987228794</v>
      </c>
    </row>
    <row r="39" spans="1:11">
      <c r="B39" t="s">
        <v>58</v>
      </c>
      <c r="C39">
        <v>16.3</v>
      </c>
      <c r="E39">
        <f t="shared" si="15"/>
        <v>235.031045751634</v>
      </c>
      <c r="G39">
        <f t="shared" si="1"/>
        <v>3983.5770466378644</v>
      </c>
      <c r="H39">
        <f t="shared" si="2"/>
        <v>3.9835770466378646</v>
      </c>
      <c r="I39">
        <f t="shared" si="12"/>
        <v>71.135304404247577</v>
      </c>
      <c r="J39">
        <f t="shared" si="13"/>
        <v>71135.304404247581</v>
      </c>
      <c r="K39">
        <f t="shared" si="14"/>
        <v>71.135304404247577</v>
      </c>
    </row>
    <row r="40" spans="1:11">
      <c r="B40" t="s">
        <v>59</v>
      </c>
      <c r="C40">
        <v>158</v>
      </c>
      <c r="E40">
        <f t="shared" si="15"/>
        <v>2550.3905228758172</v>
      </c>
      <c r="G40">
        <f t="shared" si="1"/>
        <v>43226.958014844364</v>
      </c>
      <c r="H40">
        <f t="shared" si="2"/>
        <v>43.226958014844364</v>
      </c>
      <c r="I40">
        <f t="shared" si="12"/>
        <v>771.90996455079221</v>
      </c>
      <c r="J40">
        <f t="shared" si="13"/>
        <v>771909.96455079224</v>
      </c>
      <c r="K40">
        <f t="shared" si="14"/>
        <v>771.90996455079221</v>
      </c>
    </row>
    <row r="42" spans="1:11">
      <c r="A42" s="1">
        <v>40089</v>
      </c>
      <c r="B42" t="s">
        <v>64</v>
      </c>
      <c r="C42">
        <v>49.4</v>
      </c>
      <c r="D42">
        <f>C42-C46</f>
        <v>48.4</v>
      </c>
      <c r="E42">
        <f>(D42-2.3302)/0.0671</f>
        <v>686.58420268256327</v>
      </c>
      <c r="G42">
        <f t="shared" si="1"/>
        <v>11637.020384450225</v>
      </c>
      <c r="H42">
        <f t="shared" si="2"/>
        <v>11.637020384450224</v>
      </c>
      <c r="I42">
        <f t="shared" ref="I42:I105" si="16">H42/0.056</f>
        <v>207.80393543661114</v>
      </c>
      <c r="J42">
        <f t="shared" ref="J42:J105" si="17">I42*1000</f>
        <v>207803.93543661115</v>
      </c>
      <c r="K42" s="7">
        <f t="shared" ref="K42:K105" si="18">J42/1000</f>
        <v>207.80393543661114</v>
      </c>
    </row>
    <row r="43" spans="1:11">
      <c r="A43" t="s">
        <v>98</v>
      </c>
      <c r="B43" t="s">
        <v>65</v>
      </c>
      <c r="C43">
        <v>33.799999999999997</v>
      </c>
      <c r="E43">
        <f t="shared" ref="E43:E47" si="19">(C43-2.3302)/0.0671</f>
        <v>468.99850968703419</v>
      </c>
      <c r="G43">
        <f t="shared" si="1"/>
        <v>7949.1272828310885</v>
      </c>
      <c r="H43">
        <f t="shared" si="2"/>
        <v>7.9491272828310882</v>
      </c>
      <c r="I43">
        <f t="shared" si="16"/>
        <v>141.94870147912658</v>
      </c>
      <c r="J43">
        <f t="shared" si="17"/>
        <v>141948.70147912658</v>
      </c>
      <c r="K43">
        <f t="shared" si="18"/>
        <v>141.94870147912658</v>
      </c>
    </row>
    <row r="44" spans="1:11">
      <c r="B44" t="s">
        <v>66</v>
      </c>
      <c r="C44">
        <v>19.2</v>
      </c>
      <c r="D44">
        <f>C44-C46</f>
        <v>18.2</v>
      </c>
      <c r="E44">
        <f>(D44-2.3302)/0.0671</f>
        <v>236.50968703427716</v>
      </c>
      <c r="G44">
        <f t="shared" si="1"/>
        <v>4008.6387632928331</v>
      </c>
      <c r="H44">
        <f t="shared" si="2"/>
        <v>4.0086387632928329</v>
      </c>
      <c r="I44">
        <f t="shared" si="16"/>
        <v>71.582835058800583</v>
      </c>
      <c r="J44">
        <f t="shared" si="17"/>
        <v>71582.835058800585</v>
      </c>
      <c r="K44" s="7">
        <f t="shared" si="18"/>
        <v>71.582835058800583</v>
      </c>
    </row>
    <row r="45" spans="1:11">
      <c r="B45" t="s">
        <v>67</v>
      </c>
      <c r="C45">
        <v>28.2</v>
      </c>
      <c r="E45">
        <f t="shared" si="19"/>
        <v>385.54098360655729</v>
      </c>
      <c r="G45">
        <f t="shared" si="1"/>
        <v>6534.5929424840224</v>
      </c>
      <c r="H45">
        <f t="shared" si="2"/>
        <v>6.5345929424840223</v>
      </c>
      <c r="I45">
        <f t="shared" si="16"/>
        <v>116.68915968721468</v>
      </c>
      <c r="J45">
        <f t="shared" si="17"/>
        <v>116689.15968721468</v>
      </c>
      <c r="K45">
        <f t="shared" si="18"/>
        <v>116.68915968721468</v>
      </c>
    </row>
    <row r="46" spans="1:11">
      <c r="B46" t="s">
        <v>58</v>
      </c>
      <c r="C46">
        <v>1</v>
      </c>
      <c r="E46">
        <f t="shared" si="19"/>
        <v>-19.824143070044709</v>
      </c>
      <c r="G46">
        <f t="shared" si="1"/>
        <v>-336.00242491601199</v>
      </c>
      <c r="H46">
        <f t="shared" si="2"/>
        <v>-0.33600242491601201</v>
      </c>
      <c r="I46">
        <f t="shared" si="16"/>
        <v>-6.000043302071643</v>
      </c>
      <c r="J46">
        <f t="shared" si="17"/>
        <v>-6000.0433020716428</v>
      </c>
      <c r="K46">
        <f t="shared" si="18"/>
        <v>-6.000043302071643</v>
      </c>
    </row>
    <row r="47" spans="1:11">
      <c r="B47" t="s">
        <v>59</v>
      </c>
      <c r="C47">
        <v>143</v>
      </c>
      <c r="E47">
        <f t="shared" si="19"/>
        <v>2096.4202682563337</v>
      </c>
      <c r="G47">
        <f t="shared" si="1"/>
        <v>35532.546919598877</v>
      </c>
      <c r="H47">
        <f t="shared" si="2"/>
        <v>35.532546919598879</v>
      </c>
      <c r="I47">
        <f t="shared" si="16"/>
        <v>634.50976642140859</v>
      </c>
      <c r="J47">
        <f t="shared" si="17"/>
        <v>634509.76642140863</v>
      </c>
      <c r="K47">
        <f t="shared" si="18"/>
        <v>634.50976642140859</v>
      </c>
    </row>
    <row r="48" spans="1:11">
      <c r="G48">
        <f t="shared" si="1"/>
        <v>0</v>
      </c>
      <c r="H48">
        <f t="shared" si="2"/>
        <v>0</v>
      </c>
      <c r="I48">
        <f t="shared" si="16"/>
        <v>0</v>
      </c>
      <c r="J48">
        <f t="shared" si="17"/>
        <v>0</v>
      </c>
      <c r="K48">
        <f t="shared" si="18"/>
        <v>0</v>
      </c>
    </row>
    <row r="49" spans="1:11">
      <c r="A49" s="1">
        <v>40247</v>
      </c>
      <c r="B49" t="s">
        <v>100</v>
      </c>
      <c r="C49">
        <v>29.3</v>
      </c>
      <c r="D49">
        <f>C49-C53</f>
        <v>-4.6999999999999993</v>
      </c>
      <c r="E49">
        <f>(D49-4.3315)/0.0757</f>
        <v>-119.30647291941875</v>
      </c>
      <c r="G49">
        <f t="shared" si="1"/>
        <v>-2022.1436088037076</v>
      </c>
      <c r="H49">
        <f t="shared" si="2"/>
        <v>-2.0221436088037077</v>
      </c>
      <c r="I49">
        <f t="shared" si="16"/>
        <v>-36.109707300066205</v>
      </c>
      <c r="J49">
        <f t="shared" si="17"/>
        <v>-36109.707300066206</v>
      </c>
      <c r="K49" s="7">
        <f t="shared" si="18"/>
        <v>-36.109707300066205</v>
      </c>
    </row>
    <row r="50" spans="1:11">
      <c r="A50" t="s">
        <v>99</v>
      </c>
      <c r="B50" t="s">
        <v>101</v>
      </c>
      <c r="C50">
        <v>40.1</v>
      </c>
      <c r="E50">
        <f t="shared" ref="E50:E54" si="20">(C50-4.3315)/0.0757</f>
        <v>472.50330250990754</v>
      </c>
      <c r="G50">
        <f t="shared" si="1"/>
        <v>8008.5305510153821</v>
      </c>
      <c r="H50">
        <f t="shared" si="2"/>
        <v>8.0085305510153812</v>
      </c>
      <c r="I50">
        <f t="shared" si="16"/>
        <v>143.00947412527466</v>
      </c>
      <c r="J50">
        <f t="shared" si="17"/>
        <v>143009.47412527466</v>
      </c>
      <c r="K50">
        <f t="shared" si="18"/>
        <v>143.00947412527466</v>
      </c>
    </row>
    <row r="51" spans="1:11">
      <c r="B51" t="s">
        <v>102</v>
      </c>
      <c r="C51">
        <v>25.1</v>
      </c>
      <c r="D51">
        <f>C51-C53</f>
        <v>-8.8999999999999986</v>
      </c>
      <c r="E51">
        <f>(D51-4.3315)/0.0757</f>
        <v>-174.78863936591807</v>
      </c>
      <c r="G51">
        <f t="shared" si="1"/>
        <v>-2962.5193112867473</v>
      </c>
      <c r="H51">
        <f t="shared" si="2"/>
        <v>-2.9625193112867474</v>
      </c>
      <c r="I51">
        <f t="shared" si="16"/>
        <v>-52.902130558691915</v>
      </c>
      <c r="J51">
        <f t="shared" si="17"/>
        <v>-52902.130558691919</v>
      </c>
      <c r="K51" s="7">
        <f t="shared" si="18"/>
        <v>-52.902130558691915</v>
      </c>
    </row>
    <row r="52" spans="1:11">
      <c r="B52" t="s">
        <v>103</v>
      </c>
      <c r="C52">
        <v>41.2</v>
      </c>
      <c r="E52">
        <f t="shared" si="20"/>
        <v>487.03434610303833</v>
      </c>
      <c r="G52">
        <f t="shared" si="1"/>
        <v>8254.819425475227</v>
      </c>
      <c r="H52">
        <f t="shared" si="2"/>
        <v>8.2548194254752278</v>
      </c>
      <c r="I52">
        <f t="shared" si="16"/>
        <v>147.40748974062907</v>
      </c>
      <c r="J52">
        <f t="shared" si="17"/>
        <v>147407.48974062907</v>
      </c>
      <c r="K52">
        <f t="shared" si="18"/>
        <v>147.40748974062907</v>
      </c>
    </row>
    <row r="53" spans="1:11">
      <c r="B53" t="s">
        <v>104</v>
      </c>
      <c r="C53">
        <v>34</v>
      </c>
      <c r="E53">
        <f t="shared" si="20"/>
        <v>391.92206076618231</v>
      </c>
      <c r="G53">
        <f t="shared" si="1"/>
        <v>6642.7467926471572</v>
      </c>
      <c r="H53">
        <f t="shared" si="2"/>
        <v>6.6427467926471575</v>
      </c>
      <c r="I53">
        <f t="shared" si="16"/>
        <v>118.62047844012781</v>
      </c>
      <c r="J53">
        <f t="shared" si="17"/>
        <v>118620.47844012782</v>
      </c>
      <c r="K53">
        <f t="shared" si="18"/>
        <v>118.62047844012781</v>
      </c>
    </row>
    <row r="54" spans="1:11">
      <c r="B54" t="s">
        <v>105</v>
      </c>
      <c r="C54">
        <v>249</v>
      </c>
      <c r="E54">
        <f t="shared" si="20"/>
        <v>3232.0805812417434</v>
      </c>
      <c r="G54">
        <f t="shared" si="1"/>
        <v>54781.026800707514</v>
      </c>
      <c r="H54">
        <f t="shared" si="2"/>
        <v>54.781026800707515</v>
      </c>
      <c r="I54">
        <f t="shared" si="16"/>
        <v>978.23262144120565</v>
      </c>
      <c r="J54">
        <f t="shared" si="17"/>
        <v>978232.62144120561</v>
      </c>
      <c r="K54">
        <f t="shared" si="18"/>
        <v>978.23262144120565</v>
      </c>
    </row>
    <row r="55" spans="1:11">
      <c r="G55">
        <f t="shared" si="1"/>
        <v>0</v>
      </c>
      <c r="H55">
        <f t="shared" si="2"/>
        <v>0</v>
      </c>
      <c r="I55">
        <f t="shared" si="16"/>
        <v>0</v>
      </c>
      <c r="J55">
        <f t="shared" si="17"/>
        <v>0</v>
      </c>
      <c r="K55">
        <f t="shared" si="18"/>
        <v>0</v>
      </c>
    </row>
    <row r="56" spans="1:11">
      <c r="A56" s="1">
        <v>40249</v>
      </c>
      <c r="B56" t="s">
        <v>107</v>
      </c>
      <c r="C56">
        <v>11.7</v>
      </c>
      <c r="D56">
        <f>C56-C60</f>
        <v>-40.5</v>
      </c>
      <c r="E56">
        <f>(D56-2.9437)/0.0821</f>
        <v>-529.15590742996346</v>
      </c>
      <c r="G56">
        <f t="shared" si="1"/>
        <v>-8968.7441937281947</v>
      </c>
      <c r="H56">
        <f t="shared" si="2"/>
        <v>-8.9687441937281953</v>
      </c>
      <c r="I56">
        <f t="shared" si="16"/>
        <v>-160.1561463165749</v>
      </c>
      <c r="J56">
        <f t="shared" si="17"/>
        <v>-160156.14631657492</v>
      </c>
      <c r="K56" s="7">
        <f t="shared" si="18"/>
        <v>-160.1561463165749</v>
      </c>
    </row>
    <row r="57" spans="1:11">
      <c r="A57" t="s">
        <v>106</v>
      </c>
      <c r="B57" t="s">
        <v>8</v>
      </c>
      <c r="C57">
        <v>23.7</v>
      </c>
      <c r="E57">
        <f t="shared" ref="E57:E61" si="21">(C57-2.9437)/0.0821</f>
        <v>252.81729598051155</v>
      </c>
      <c r="G57">
        <f t="shared" si="1"/>
        <v>4285.0389149239245</v>
      </c>
      <c r="H57">
        <f t="shared" si="2"/>
        <v>4.2850389149239243</v>
      </c>
      <c r="I57">
        <f t="shared" si="16"/>
        <v>76.518552052212939</v>
      </c>
      <c r="J57">
        <f t="shared" si="17"/>
        <v>76518.552052212937</v>
      </c>
      <c r="K57">
        <f t="shared" si="18"/>
        <v>76.518552052212939</v>
      </c>
    </row>
    <row r="58" spans="1:11">
      <c r="B58" t="s">
        <v>6</v>
      </c>
      <c r="C58">
        <v>29.1</v>
      </c>
      <c r="D58">
        <f>C58-C60</f>
        <v>-23.1</v>
      </c>
      <c r="E58">
        <f>(D58-2.9437)/0.0821</f>
        <v>-317.21924482338608</v>
      </c>
      <c r="G58">
        <f t="shared" si="1"/>
        <v>-5376.5973698878997</v>
      </c>
      <c r="H58">
        <f t="shared" si="2"/>
        <v>-5.3765973698879002</v>
      </c>
      <c r="I58">
        <f t="shared" si="16"/>
        <v>-96.010667319426787</v>
      </c>
      <c r="J58">
        <f t="shared" si="17"/>
        <v>-96010.667319426793</v>
      </c>
      <c r="K58" s="7">
        <f t="shared" si="18"/>
        <v>-96.010667319426787</v>
      </c>
    </row>
    <row r="59" spans="1:11">
      <c r="B59" t="s">
        <v>7</v>
      </c>
      <c r="C59">
        <v>27.9</v>
      </c>
      <c r="E59">
        <f t="shared" si="21"/>
        <v>303.97442143727159</v>
      </c>
      <c r="G59">
        <f t="shared" si="1"/>
        <v>5152.1088379198573</v>
      </c>
      <c r="H59">
        <f t="shared" si="2"/>
        <v>5.1521088379198572</v>
      </c>
      <c r="I59">
        <f t="shared" si="16"/>
        <v>92.001943534283157</v>
      </c>
      <c r="J59">
        <f t="shared" si="17"/>
        <v>92001.943534283157</v>
      </c>
      <c r="K59">
        <f t="shared" si="18"/>
        <v>92.001943534283157</v>
      </c>
    </row>
    <row r="60" spans="1:11">
      <c r="B60" t="s">
        <v>104</v>
      </c>
      <c r="C60">
        <v>52.2</v>
      </c>
      <c r="E60">
        <f t="shared" si="21"/>
        <v>599.95493300852615</v>
      </c>
      <c r="G60">
        <f t="shared" si="1"/>
        <v>10168.727678110614</v>
      </c>
      <c r="H60">
        <f t="shared" si="2"/>
        <v>10.168727678110614</v>
      </c>
      <c r="I60">
        <f t="shared" si="16"/>
        <v>181.5844228234038</v>
      </c>
      <c r="J60">
        <f t="shared" si="17"/>
        <v>181584.42282340379</v>
      </c>
      <c r="K60">
        <f t="shared" si="18"/>
        <v>181.5844228234038</v>
      </c>
    </row>
    <row r="61" spans="1:11">
      <c r="B61" t="s">
        <v>9</v>
      </c>
      <c r="C61">
        <v>254</v>
      </c>
      <c r="E61">
        <f t="shared" si="21"/>
        <v>3057.9330085261872</v>
      </c>
      <c r="G61">
        <f t="shared" si="1"/>
        <v>51829.373025867586</v>
      </c>
      <c r="H61">
        <f t="shared" si="2"/>
        <v>51.829373025867589</v>
      </c>
      <c r="I61">
        <f t="shared" si="16"/>
        <v>925.5245183190641</v>
      </c>
      <c r="J61">
        <f t="shared" si="17"/>
        <v>925524.51831906405</v>
      </c>
      <c r="K61">
        <f t="shared" si="18"/>
        <v>925.5245183190641</v>
      </c>
    </row>
    <row r="62" spans="1:11">
      <c r="G62">
        <f t="shared" si="1"/>
        <v>0</v>
      </c>
      <c r="H62">
        <f t="shared" si="2"/>
        <v>0</v>
      </c>
      <c r="I62">
        <f t="shared" si="16"/>
        <v>0</v>
      </c>
      <c r="J62">
        <f t="shared" si="17"/>
        <v>0</v>
      </c>
      <c r="K62">
        <f t="shared" si="18"/>
        <v>0</v>
      </c>
    </row>
    <row r="63" spans="1:11">
      <c r="A63" s="1">
        <v>40249</v>
      </c>
      <c r="B63" t="s">
        <v>11</v>
      </c>
      <c r="C63">
        <v>9.76</v>
      </c>
      <c r="D63">
        <f>C63-C67</f>
        <v>-31.440000000000005</v>
      </c>
      <c r="E63">
        <f>(D63-17.782)/0.0554</f>
        <v>-888.48375451263553</v>
      </c>
      <c r="G63">
        <f t="shared" si="1"/>
        <v>-15059.04668665484</v>
      </c>
      <c r="H63">
        <f t="shared" si="2"/>
        <v>-15.05904668665484</v>
      </c>
      <c r="I63">
        <f t="shared" si="16"/>
        <v>-268.91154797597926</v>
      </c>
      <c r="J63">
        <f t="shared" si="17"/>
        <v>-268911.54797597928</v>
      </c>
      <c r="K63" s="7">
        <f t="shared" si="18"/>
        <v>-268.91154797597926</v>
      </c>
    </row>
    <row r="64" spans="1:11">
      <c r="A64" t="s">
        <v>10</v>
      </c>
      <c r="B64" t="s">
        <v>12</v>
      </c>
      <c r="C64">
        <v>24.9</v>
      </c>
      <c r="E64">
        <f t="shared" ref="E64:E68" si="22">(C64-17.782)/0.0554</f>
        <v>128.48375451263536</v>
      </c>
      <c r="G64">
        <f t="shared" si="1"/>
        <v>2177.690754451447</v>
      </c>
      <c r="H64">
        <f t="shared" si="2"/>
        <v>2.1776907544514468</v>
      </c>
      <c r="I64">
        <f t="shared" si="16"/>
        <v>38.887334900918688</v>
      </c>
      <c r="J64">
        <f t="shared" si="17"/>
        <v>38887.334900918686</v>
      </c>
      <c r="K64">
        <f t="shared" si="18"/>
        <v>38.887334900918688</v>
      </c>
    </row>
    <row r="65" spans="1:11">
      <c r="B65" t="s">
        <v>13</v>
      </c>
      <c r="C65">
        <v>16.100000000000001</v>
      </c>
      <c r="D65">
        <f>C65-C67</f>
        <v>-25.1</v>
      </c>
      <c r="E65">
        <f>(D65-17.782)/0.0554</f>
        <v>-774.04332129963916</v>
      </c>
      <c r="G65">
        <f t="shared" si="1"/>
        <v>-13119.378327112528</v>
      </c>
      <c r="H65">
        <f t="shared" si="2"/>
        <v>-13.119378327112528</v>
      </c>
      <c r="I65">
        <f t="shared" si="16"/>
        <v>-234.2746129841523</v>
      </c>
      <c r="J65">
        <f t="shared" si="17"/>
        <v>-234274.61298415231</v>
      </c>
      <c r="K65" s="7">
        <f t="shared" si="18"/>
        <v>-234.2746129841523</v>
      </c>
    </row>
    <row r="66" spans="1:11">
      <c r="B66" t="s">
        <v>14</v>
      </c>
      <c r="C66">
        <v>39.299999999999997</v>
      </c>
      <c r="E66">
        <f t="shared" si="22"/>
        <v>388.41155234657037</v>
      </c>
      <c r="G66">
        <f t="shared" si="1"/>
        <v>6583.2466499418715</v>
      </c>
      <c r="H66">
        <f t="shared" si="2"/>
        <v>6.5832466499418718</v>
      </c>
      <c r="I66">
        <f t="shared" si="16"/>
        <v>117.55797589181914</v>
      </c>
      <c r="J66">
        <f t="shared" si="17"/>
        <v>117557.97589181914</v>
      </c>
      <c r="K66">
        <f t="shared" si="18"/>
        <v>117.55797589181914</v>
      </c>
    </row>
    <row r="67" spans="1:11">
      <c r="B67" t="s">
        <v>15</v>
      </c>
      <c r="C67">
        <v>41.2</v>
      </c>
      <c r="E67">
        <f t="shared" si="22"/>
        <v>422.70758122743689</v>
      </c>
      <c r="G67">
        <f t="shared" si="1"/>
        <v>7164.5352750413031</v>
      </c>
      <c r="H67">
        <f t="shared" si="2"/>
        <v>7.1645352750413034</v>
      </c>
      <c r="I67">
        <f t="shared" si="16"/>
        <v>127.93812991145184</v>
      </c>
      <c r="J67">
        <f t="shared" si="17"/>
        <v>127938.12991145183</v>
      </c>
      <c r="K67">
        <f t="shared" si="18"/>
        <v>127.93812991145184</v>
      </c>
    </row>
    <row r="68" spans="1:11">
      <c r="B68" t="s">
        <v>9</v>
      </c>
      <c r="C68">
        <v>198</v>
      </c>
      <c r="E68">
        <f t="shared" si="22"/>
        <v>3253.0324909747292</v>
      </c>
      <c r="G68">
        <f t="shared" si="1"/>
        <v>55136.143914825916</v>
      </c>
      <c r="H68">
        <f t="shared" si="2"/>
        <v>55.136143914825915</v>
      </c>
      <c r="I68">
        <f t="shared" si="16"/>
        <v>984.57399847903423</v>
      </c>
      <c r="J68">
        <f t="shared" si="17"/>
        <v>984573.99847903429</v>
      </c>
      <c r="K68">
        <f t="shared" si="18"/>
        <v>984.57399847903423</v>
      </c>
    </row>
    <row r="69" spans="1:11">
      <c r="G69">
        <f t="shared" si="1"/>
        <v>0</v>
      </c>
      <c r="H69">
        <f t="shared" si="2"/>
        <v>0</v>
      </c>
      <c r="I69">
        <f t="shared" si="16"/>
        <v>0</v>
      </c>
      <c r="J69">
        <f t="shared" si="17"/>
        <v>0</v>
      </c>
      <c r="K69">
        <f t="shared" si="18"/>
        <v>0</v>
      </c>
    </row>
    <row r="70" spans="1:11">
      <c r="A70" s="1">
        <v>40260</v>
      </c>
      <c r="B70" t="s">
        <v>17</v>
      </c>
      <c r="C70">
        <v>-184</v>
      </c>
      <c r="D70">
        <f>C70-C72</f>
        <v>-4</v>
      </c>
      <c r="E70">
        <f>(D70-2.6849)/0.0762</f>
        <v>-87.728346456692904</v>
      </c>
      <c r="G70">
        <f t="shared" si="1"/>
        <v>-1486.9211263846255</v>
      </c>
      <c r="H70">
        <f t="shared" si="2"/>
        <v>-1.4869211263846256</v>
      </c>
      <c r="I70">
        <f t="shared" si="16"/>
        <v>-26.552162971154029</v>
      </c>
      <c r="J70">
        <f t="shared" si="17"/>
        <v>-26552.16297115403</v>
      </c>
      <c r="K70" s="7">
        <f t="shared" si="18"/>
        <v>-26.552162971154029</v>
      </c>
    </row>
    <row r="71" spans="1:11">
      <c r="A71" t="s">
        <v>16</v>
      </c>
      <c r="B71" t="s">
        <v>18</v>
      </c>
      <c r="C71">
        <v>-184</v>
      </c>
      <c r="E71">
        <f t="shared" ref="E71:E73" si="23">(C71-2.6849)/0.0762</f>
        <v>-2449.9330708661414</v>
      </c>
      <c r="G71">
        <f t="shared" si="1"/>
        <v>-41524.289336714261</v>
      </c>
      <c r="H71">
        <f t="shared" si="2"/>
        <v>-41.524289336714261</v>
      </c>
      <c r="I71">
        <f t="shared" si="16"/>
        <v>-741.50516672704032</v>
      </c>
      <c r="J71">
        <f t="shared" si="17"/>
        <v>-741505.16672704031</v>
      </c>
      <c r="K71">
        <f t="shared" si="18"/>
        <v>-741.50516672704032</v>
      </c>
    </row>
    <row r="72" spans="1:11">
      <c r="B72" t="s">
        <v>15</v>
      </c>
      <c r="C72">
        <v>-180</v>
      </c>
      <c r="E72">
        <f t="shared" si="23"/>
        <v>-2397.4396325459315</v>
      </c>
      <c r="G72">
        <f t="shared" si="1"/>
        <v>-40634.570043151383</v>
      </c>
      <c r="H72">
        <f t="shared" si="2"/>
        <v>-40.634570043151385</v>
      </c>
      <c r="I72">
        <f t="shared" si="16"/>
        <v>-725.61732219913188</v>
      </c>
      <c r="J72">
        <f t="shared" si="17"/>
        <v>-725617.32219913183</v>
      </c>
      <c r="K72">
        <f t="shared" si="18"/>
        <v>-725.61732219913188</v>
      </c>
    </row>
    <row r="73" spans="1:11">
      <c r="B73" t="s">
        <v>19</v>
      </c>
      <c r="C73">
        <v>19.600000000000001</v>
      </c>
      <c r="E73">
        <f t="shared" si="23"/>
        <v>221.98293963254596</v>
      </c>
      <c r="G73">
        <f t="shared" si="1"/>
        <v>3762.422705636372</v>
      </c>
      <c r="H73">
        <f t="shared" si="2"/>
        <v>3.7624227056363719</v>
      </c>
      <c r="I73">
        <f t="shared" si="16"/>
        <v>67.186119743506637</v>
      </c>
      <c r="J73">
        <f t="shared" si="17"/>
        <v>67186.119743506642</v>
      </c>
      <c r="K73">
        <f t="shared" si="18"/>
        <v>67.186119743506637</v>
      </c>
    </row>
    <row r="74" spans="1:11">
      <c r="G74">
        <f t="shared" si="1"/>
        <v>0</v>
      </c>
      <c r="H74">
        <f t="shared" ref="H74:H134" si="24">G74/1000</f>
        <v>0</v>
      </c>
      <c r="I74">
        <f t="shared" si="16"/>
        <v>0</v>
      </c>
      <c r="J74">
        <f t="shared" si="17"/>
        <v>0</v>
      </c>
      <c r="K74">
        <f t="shared" si="18"/>
        <v>0</v>
      </c>
    </row>
    <row r="75" spans="1:11">
      <c r="B75" t="s">
        <v>20</v>
      </c>
      <c r="C75">
        <v>28.3</v>
      </c>
      <c r="D75">
        <f>C75-C77</f>
        <v>-11.3</v>
      </c>
      <c r="E75">
        <f>(D75-2.0401)/0.0784</f>
        <v>-170.15433673469389</v>
      </c>
      <c r="G75">
        <f t="shared" ref="G75:G134" si="25">(E75/(5.9*10^13))*(1*10^15)</f>
        <v>-2883.9718090626084</v>
      </c>
      <c r="H75">
        <f t="shared" si="24"/>
        <v>-2.8839718090626083</v>
      </c>
      <c r="I75">
        <f t="shared" si="16"/>
        <v>-51.499496590403716</v>
      </c>
      <c r="J75">
        <f t="shared" si="17"/>
        <v>-51499.496590403716</v>
      </c>
      <c r="K75" s="7">
        <f t="shared" si="18"/>
        <v>-51.499496590403716</v>
      </c>
    </row>
    <row r="76" spans="1:11">
      <c r="B76" t="s">
        <v>21</v>
      </c>
      <c r="C76">
        <v>26</v>
      </c>
      <c r="E76">
        <f t="shared" ref="E76:E78" si="26">(C76-2.0401)/0.0784</f>
        <v>305.61096938775512</v>
      </c>
      <c r="G76">
        <f t="shared" si="25"/>
        <v>5179.8469387755104</v>
      </c>
      <c r="H76">
        <f t="shared" si="24"/>
        <v>5.1798469387755102</v>
      </c>
      <c r="I76">
        <f t="shared" si="16"/>
        <v>92.497266763848387</v>
      </c>
      <c r="J76">
        <f t="shared" si="17"/>
        <v>92497.266763848384</v>
      </c>
      <c r="K76">
        <f t="shared" si="18"/>
        <v>92.497266763848387</v>
      </c>
    </row>
    <row r="77" spans="1:11">
      <c r="B77" t="s">
        <v>104</v>
      </c>
      <c r="C77">
        <v>39.6</v>
      </c>
      <c r="E77">
        <f t="shared" si="26"/>
        <v>479.08035714285717</v>
      </c>
      <c r="G77">
        <f t="shared" si="25"/>
        <v>8120.0060532687658</v>
      </c>
      <c r="H77">
        <f t="shared" si="24"/>
        <v>8.1200060532687655</v>
      </c>
      <c r="I77">
        <f t="shared" si="16"/>
        <v>145.00010809408511</v>
      </c>
      <c r="J77">
        <f t="shared" si="17"/>
        <v>145000.1080940851</v>
      </c>
      <c r="K77">
        <f t="shared" si="18"/>
        <v>145.00010809408511</v>
      </c>
    </row>
    <row r="78" spans="1:11">
      <c r="B78" t="s">
        <v>9</v>
      </c>
      <c r="C78">
        <v>214</v>
      </c>
      <c r="E78">
        <f t="shared" si="26"/>
        <v>2703.5701530612246</v>
      </c>
      <c r="G78">
        <f t="shared" si="25"/>
        <v>45823.222933241093</v>
      </c>
      <c r="H78">
        <f t="shared" si="24"/>
        <v>45.823222933241091</v>
      </c>
      <c r="I78">
        <f t="shared" si="16"/>
        <v>818.27183809359087</v>
      </c>
      <c r="J78">
        <f t="shared" si="17"/>
        <v>818271.83809359092</v>
      </c>
      <c r="K78">
        <f t="shared" si="18"/>
        <v>818.27183809359087</v>
      </c>
    </row>
    <row r="79" spans="1:11">
      <c r="G79">
        <f t="shared" si="25"/>
        <v>0</v>
      </c>
      <c r="H79">
        <f t="shared" si="24"/>
        <v>0</v>
      </c>
      <c r="I79">
        <f t="shared" si="16"/>
        <v>0</v>
      </c>
      <c r="J79">
        <f t="shared" si="17"/>
        <v>0</v>
      </c>
      <c r="K79">
        <f t="shared" si="18"/>
        <v>0</v>
      </c>
    </row>
    <row r="80" spans="1:11">
      <c r="B80" t="s">
        <v>25</v>
      </c>
      <c r="G80">
        <f t="shared" si="25"/>
        <v>0</v>
      </c>
      <c r="H80">
        <f t="shared" si="24"/>
        <v>0</v>
      </c>
      <c r="I80">
        <f t="shared" si="16"/>
        <v>0</v>
      </c>
      <c r="J80">
        <f t="shared" si="17"/>
        <v>0</v>
      </c>
      <c r="K80">
        <f t="shared" si="18"/>
        <v>0</v>
      </c>
    </row>
    <row r="81" spans="1:11">
      <c r="A81" s="1">
        <v>40261</v>
      </c>
      <c r="B81" t="s">
        <v>24</v>
      </c>
      <c r="C81">
        <v>26.3</v>
      </c>
      <c r="D81">
        <f>C81-C83</f>
        <v>-7.9000000000000021</v>
      </c>
      <c r="E81">
        <f>(D81-2.7655)-0.072</f>
        <v>-10.737500000000001</v>
      </c>
      <c r="G81">
        <f t="shared" si="25"/>
        <v>-181.99152542372883</v>
      </c>
      <c r="H81">
        <f t="shared" si="24"/>
        <v>-0.18199152542372882</v>
      </c>
      <c r="I81">
        <f t="shared" si="16"/>
        <v>-3.2498486682808716</v>
      </c>
      <c r="J81">
        <f t="shared" si="17"/>
        <v>-3249.8486682808716</v>
      </c>
      <c r="K81" s="7">
        <f t="shared" si="18"/>
        <v>-3.2498486682808716</v>
      </c>
    </row>
    <row r="82" spans="1:11">
      <c r="A82" t="s">
        <v>22</v>
      </c>
      <c r="B82" t="s">
        <v>23</v>
      </c>
      <c r="C82">
        <v>69.2</v>
      </c>
      <c r="E82">
        <f t="shared" ref="E82:E95" si="27">(C82-2.7655)-0.072</f>
        <v>66.362499999999997</v>
      </c>
      <c r="G82">
        <f t="shared" si="25"/>
        <v>1124.7881355932202</v>
      </c>
      <c r="H82">
        <f t="shared" si="24"/>
        <v>1.1247881355932201</v>
      </c>
      <c r="I82">
        <f t="shared" si="16"/>
        <v>20.085502421307503</v>
      </c>
      <c r="J82">
        <f t="shared" si="17"/>
        <v>20085.502421307501</v>
      </c>
      <c r="K82">
        <f t="shared" si="18"/>
        <v>20.085502421307503</v>
      </c>
    </row>
    <row r="83" spans="1:11">
      <c r="B83" t="s">
        <v>104</v>
      </c>
      <c r="C83">
        <v>34.200000000000003</v>
      </c>
      <c r="E83">
        <f t="shared" si="27"/>
        <v>31.362500000000004</v>
      </c>
      <c r="G83">
        <f t="shared" si="25"/>
        <v>531.56779661016958</v>
      </c>
      <c r="H83">
        <f t="shared" si="24"/>
        <v>0.53156779661016962</v>
      </c>
      <c r="I83">
        <f t="shared" si="16"/>
        <v>9.4922820823244578</v>
      </c>
      <c r="J83">
        <f t="shared" si="17"/>
        <v>9492.2820823244583</v>
      </c>
      <c r="K83">
        <f t="shared" si="18"/>
        <v>9.4922820823244578</v>
      </c>
    </row>
    <row r="84" spans="1:11">
      <c r="B84" t="s">
        <v>9</v>
      </c>
      <c r="C84">
        <v>223</v>
      </c>
      <c r="E84">
        <f t="shared" si="27"/>
        <v>220.16249999999999</v>
      </c>
      <c r="G84">
        <f t="shared" si="25"/>
        <v>3731.5677966101694</v>
      </c>
      <c r="H84">
        <f t="shared" si="24"/>
        <v>3.7315677966101695</v>
      </c>
      <c r="I84">
        <f t="shared" si="16"/>
        <v>66.635139225181589</v>
      </c>
      <c r="J84">
        <f t="shared" si="17"/>
        <v>66635.139225181585</v>
      </c>
      <c r="K84">
        <f t="shared" si="18"/>
        <v>66.635139225181589</v>
      </c>
    </row>
    <row r="85" spans="1:11">
      <c r="G85">
        <f t="shared" si="25"/>
        <v>0</v>
      </c>
      <c r="H85">
        <f t="shared" si="24"/>
        <v>0</v>
      </c>
      <c r="I85">
        <f t="shared" si="16"/>
        <v>0</v>
      </c>
      <c r="J85">
        <f t="shared" si="17"/>
        <v>0</v>
      </c>
      <c r="K85">
        <f t="shared" si="18"/>
        <v>0</v>
      </c>
    </row>
    <row r="86" spans="1:11">
      <c r="B86" t="s">
        <v>26</v>
      </c>
      <c r="C86">
        <v>26.4</v>
      </c>
      <c r="D86">
        <f>C86-C88</f>
        <v>-1.2000000000000028</v>
      </c>
      <c r="E86">
        <f>(D86-2.7655)-0.072</f>
        <v>-4.0375000000000023</v>
      </c>
      <c r="G86">
        <f t="shared" si="25"/>
        <v>-68.432203389830548</v>
      </c>
      <c r="H86">
        <f t="shared" si="24"/>
        <v>-6.8432203389830554E-2</v>
      </c>
      <c r="I86">
        <f t="shared" si="16"/>
        <v>-1.2220036319612599</v>
      </c>
      <c r="J86">
        <f t="shared" si="17"/>
        <v>-1222.00363196126</v>
      </c>
      <c r="K86" s="7">
        <f t="shared" si="18"/>
        <v>-1.2220036319612599</v>
      </c>
    </row>
    <row r="87" spans="1:11">
      <c r="B87" t="s">
        <v>27</v>
      </c>
      <c r="C87">
        <v>191</v>
      </c>
      <c r="E87">
        <f t="shared" si="27"/>
        <v>188.16249999999999</v>
      </c>
      <c r="G87">
        <f t="shared" si="25"/>
        <v>3189.1949152542375</v>
      </c>
      <c r="H87">
        <f t="shared" si="24"/>
        <v>3.1891949152542374</v>
      </c>
      <c r="I87">
        <f t="shared" si="16"/>
        <v>56.94990920096852</v>
      </c>
      <c r="J87">
        <f t="shared" si="17"/>
        <v>56949.909200968519</v>
      </c>
      <c r="K87">
        <f t="shared" si="18"/>
        <v>56.94990920096852</v>
      </c>
    </row>
    <row r="88" spans="1:11">
      <c r="B88" t="s">
        <v>104</v>
      </c>
      <c r="C88">
        <v>27.6</v>
      </c>
      <c r="E88">
        <f t="shared" si="27"/>
        <v>24.762500000000003</v>
      </c>
      <c r="G88">
        <f t="shared" si="25"/>
        <v>419.70338983050851</v>
      </c>
      <c r="H88">
        <f t="shared" si="24"/>
        <v>0.41970338983050853</v>
      </c>
      <c r="I88">
        <f t="shared" si="16"/>
        <v>7.4947033898305095</v>
      </c>
      <c r="J88">
        <f t="shared" si="17"/>
        <v>7494.7033898305099</v>
      </c>
      <c r="K88">
        <f t="shared" si="18"/>
        <v>7.4947033898305095</v>
      </c>
    </row>
    <row r="89" spans="1:11">
      <c r="B89" t="s">
        <v>28</v>
      </c>
      <c r="C89">
        <v>232</v>
      </c>
      <c r="E89">
        <f t="shared" si="27"/>
        <v>229.16249999999999</v>
      </c>
      <c r="G89">
        <f t="shared" si="25"/>
        <v>3884.1101694915255</v>
      </c>
      <c r="H89">
        <f t="shared" si="24"/>
        <v>3.8841101694915254</v>
      </c>
      <c r="I89">
        <f t="shared" si="16"/>
        <v>69.35911016949153</v>
      </c>
      <c r="J89">
        <f t="shared" si="17"/>
        <v>69359.110169491527</v>
      </c>
      <c r="K89">
        <f t="shared" si="18"/>
        <v>69.35911016949153</v>
      </c>
    </row>
    <row r="90" spans="1:11">
      <c r="G90">
        <f t="shared" si="25"/>
        <v>0</v>
      </c>
      <c r="H90">
        <f t="shared" si="24"/>
        <v>0</v>
      </c>
      <c r="I90">
        <f t="shared" si="16"/>
        <v>0</v>
      </c>
      <c r="J90">
        <f t="shared" si="17"/>
        <v>0</v>
      </c>
      <c r="K90">
        <f t="shared" si="18"/>
        <v>0</v>
      </c>
    </row>
    <row r="91" spans="1:11">
      <c r="B91" t="s">
        <v>29</v>
      </c>
      <c r="G91">
        <f t="shared" si="25"/>
        <v>0</v>
      </c>
      <c r="H91">
        <f t="shared" si="24"/>
        <v>0</v>
      </c>
      <c r="I91">
        <f t="shared" si="16"/>
        <v>0</v>
      </c>
      <c r="J91">
        <f t="shared" si="17"/>
        <v>0</v>
      </c>
      <c r="K91">
        <f t="shared" si="18"/>
        <v>0</v>
      </c>
    </row>
    <row r="92" spans="1:11">
      <c r="B92" t="s">
        <v>30</v>
      </c>
      <c r="C92">
        <v>16.399999999999999</v>
      </c>
      <c r="D92">
        <f>C92-C94</f>
        <v>-6.7000000000000028</v>
      </c>
      <c r="E92">
        <f>(D92-2.7655)-0.072</f>
        <v>-9.5375000000000014</v>
      </c>
      <c r="G92">
        <f t="shared" si="25"/>
        <v>-161.65254237288138</v>
      </c>
      <c r="H92">
        <f t="shared" si="24"/>
        <v>-0.16165254237288137</v>
      </c>
      <c r="I92">
        <f t="shared" si="16"/>
        <v>-2.8866525423728815</v>
      </c>
      <c r="J92">
        <f t="shared" si="17"/>
        <v>-2886.6525423728813</v>
      </c>
      <c r="K92" s="7">
        <f t="shared" si="18"/>
        <v>-2.8866525423728815</v>
      </c>
    </row>
    <row r="93" spans="1:11">
      <c r="B93" t="s">
        <v>31</v>
      </c>
      <c r="C93">
        <v>40.799999999999997</v>
      </c>
      <c r="E93">
        <f t="shared" si="27"/>
        <v>37.962499999999991</v>
      </c>
      <c r="G93">
        <f t="shared" si="25"/>
        <v>643.43220338983031</v>
      </c>
      <c r="H93">
        <f t="shared" si="24"/>
        <v>0.64343220338983032</v>
      </c>
      <c r="I93">
        <f t="shared" si="16"/>
        <v>11.489860774818398</v>
      </c>
      <c r="J93">
        <f t="shared" si="17"/>
        <v>11489.860774818399</v>
      </c>
      <c r="K93">
        <f t="shared" si="18"/>
        <v>11.489860774818398</v>
      </c>
    </row>
    <row r="94" spans="1:11">
      <c r="B94" t="s">
        <v>104</v>
      </c>
      <c r="C94">
        <v>23.1</v>
      </c>
      <c r="E94">
        <f t="shared" si="27"/>
        <v>20.262500000000003</v>
      </c>
      <c r="G94">
        <f t="shared" si="25"/>
        <v>343.43220338983059</v>
      </c>
      <c r="H94">
        <f t="shared" si="24"/>
        <v>0.3434322033898306</v>
      </c>
      <c r="I94">
        <f t="shared" si="16"/>
        <v>6.1327179176755466</v>
      </c>
      <c r="J94">
        <f t="shared" si="17"/>
        <v>6132.7179176755462</v>
      </c>
      <c r="K94">
        <f t="shared" si="18"/>
        <v>6.1327179176755466</v>
      </c>
    </row>
    <row r="95" spans="1:11">
      <c r="B95" t="s">
        <v>32</v>
      </c>
      <c r="C95">
        <v>236</v>
      </c>
      <c r="E95">
        <f t="shared" si="27"/>
        <v>233.16249999999999</v>
      </c>
      <c r="G95">
        <f t="shared" si="25"/>
        <v>3951.906779661017</v>
      </c>
      <c r="H95">
        <f t="shared" si="24"/>
        <v>3.9519067796610172</v>
      </c>
      <c r="I95">
        <f t="shared" si="16"/>
        <v>70.569763922518163</v>
      </c>
      <c r="J95">
        <f t="shared" si="17"/>
        <v>70569.763922518163</v>
      </c>
      <c r="K95">
        <f t="shared" si="18"/>
        <v>70.569763922518163</v>
      </c>
    </row>
    <row r="96" spans="1:11">
      <c r="G96">
        <f t="shared" si="25"/>
        <v>0</v>
      </c>
      <c r="H96">
        <f t="shared" si="24"/>
        <v>0</v>
      </c>
      <c r="I96">
        <f t="shared" si="16"/>
        <v>0</v>
      </c>
      <c r="J96">
        <f t="shared" si="17"/>
        <v>0</v>
      </c>
      <c r="K96">
        <f t="shared" si="18"/>
        <v>0</v>
      </c>
    </row>
    <row r="97" spans="1:11">
      <c r="A97" s="1">
        <v>40262</v>
      </c>
      <c r="B97" t="s">
        <v>33</v>
      </c>
      <c r="G97">
        <f t="shared" si="25"/>
        <v>0</v>
      </c>
      <c r="H97">
        <f t="shared" si="24"/>
        <v>0</v>
      </c>
      <c r="I97">
        <f t="shared" si="16"/>
        <v>0</v>
      </c>
      <c r="J97">
        <f t="shared" si="17"/>
        <v>0</v>
      </c>
      <c r="K97">
        <f t="shared" si="18"/>
        <v>0</v>
      </c>
    </row>
    <row r="98" spans="1:11">
      <c r="A98" t="s">
        <v>34</v>
      </c>
      <c r="B98" t="s">
        <v>35</v>
      </c>
      <c r="C98">
        <v>11.1</v>
      </c>
      <c r="D98">
        <f>C98-C100</f>
        <v>-2.0999999999999996</v>
      </c>
      <c r="E98">
        <f>(D98-2.895)/0.073</f>
        <v>-68.424657534246563</v>
      </c>
      <c r="G98">
        <f t="shared" si="25"/>
        <v>-1159.7399582075689</v>
      </c>
      <c r="H98">
        <f t="shared" si="24"/>
        <v>-1.1597399582075689</v>
      </c>
      <c r="I98">
        <f t="shared" si="16"/>
        <v>-20.709642110849444</v>
      </c>
      <c r="J98">
        <f t="shared" si="17"/>
        <v>-20709.642110849443</v>
      </c>
      <c r="K98" s="7">
        <f t="shared" si="18"/>
        <v>-20.709642110849444</v>
      </c>
    </row>
    <row r="99" spans="1:11">
      <c r="B99" t="s">
        <v>36</v>
      </c>
      <c r="C99">
        <v>26.7</v>
      </c>
      <c r="E99">
        <f t="shared" ref="E99:E101" si="28">(C99-2.895)/0.073</f>
        <v>326.09589041095893</v>
      </c>
      <c r="G99">
        <f t="shared" si="25"/>
        <v>5527.0489900162529</v>
      </c>
      <c r="H99">
        <f t="shared" si="24"/>
        <v>5.5270489900162527</v>
      </c>
      <c r="I99">
        <f t="shared" si="16"/>
        <v>98.697303393147365</v>
      </c>
      <c r="J99">
        <f t="shared" si="17"/>
        <v>98697.303393147362</v>
      </c>
      <c r="K99">
        <f t="shared" si="18"/>
        <v>98.697303393147365</v>
      </c>
    </row>
    <row r="100" spans="1:11">
      <c r="B100" t="s">
        <v>37</v>
      </c>
      <c r="C100">
        <v>13.2</v>
      </c>
      <c r="E100">
        <f t="shared" si="28"/>
        <v>141.16438356164383</v>
      </c>
      <c r="G100">
        <f t="shared" si="25"/>
        <v>2392.6166705363362</v>
      </c>
      <c r="H100">
        <f t="shared" si="24"/>
        <v>2.3926166705363361</v>
      </c>
      <c r="I100">
        <f t="shared" si="16"/>
        <v>42.725297688148856</v>
      </c>
      <c r="J100">
        <f t="shared" si="17"/>
        <v>42725.297688148858</v>
      </c>
      <c r="K100">
        <f t="shared" si="18"/>
        <v>42.725297688148856</v>
      </c>
    </row>
    <row r="101" spans="1:11">
      <c r="B101" t="s">
        <v>38</v>
      </c>
      <c r="C101">
        <v>168</v>
      </c>
      <c r="E101">
        <f t="shared" si="28"/>
        <v>2261.7123287671234</v>
      </c>
      <c r="G101">
        <f t="shared" si="25"/>
        <v>38334.107267239378</v>
      </c>
      <c r="H101">
        <f t="shared" si="24"/>
        <v>38.334107267239375</v>
      </c>
      <c r="I101">
        <f t="shared" si="16"/>
        <v>684.53762977213171</v>
      </c>
      <c r="J101">
        <f t="shared" si="17"/>
        <v>684537.62977213168</v>
      </c>
      <c r="K101">
        <f t="shared" si="18"/>
        <v>684.53762977213171</v>
      </c>
    </row>
    <row r="102" spans="1:11">
      <c r="G102">
        <f t="shared" si="25"/>
        <v>0</v>
      </c>
      <c r="H102">
        <f t="shared" si="24"/>
        <v>0</v>
      </c>
      <c r="I102">
        <f t="shared" si="16"/>
        <v>0</v>
      </c>
      <c r="J102">
        <f t="shared" si="17"/>
        <v>0</v>
      </c>
      <c r="K102">
        <f t="shared" si="18"/>
        <v>0</v>
      </c>
    </row>
    <row r="103" spans="1:11">
      <c r="B103" t="s">
        <v>39</v>
      </c>
      <c r="C103">
        <v>19.3</v>
      </c>
      <c r="D103">
        <f>C103-C105</f>
        <v>6.3000000000000007</v>
      </c>
      <c r="E103">
        <f>(D103+2.7599)/0.1061</f>
        <v>85.390197926484461</v>
      </c>
      <c r="G103">
        <f t="shared" si="25"/>
        <v>1447.2914902793975</v>
      </c>
      <c r="H103">
        <f t="shared" si="24"/>
        <v>1.4472914902793976</v>
      </c>
      <c r="I103">
        <f t="shared" si="16"/>
        <v>25.844490897846384</v>
      </c>
      <c r="J103">
        <f t="shared" si="17"/>
        <v>25844.490897846383</v>
      </c>
      <c r="K103" s="7">
        <f t="shared" si="18"/>
        <v>25.844490897846384</v>
      </c>
    </row>
    <row r="104" spans="1:11">
      <c r="B104" t="s">
        <v>40</v>
      </c>
      <c r="C104">
        <v>63.7</v>
      </c>
      <c r="E104">
        <f t="shared" ref="E104:E106" si="29">(C104+2.7599)/0.1061</f>
        <v>626.38925541941569</v>
      </c>
      <c r="G104">
        <f t="shared" si="25"/>
        <v>10616.767041007046</v>
      </c>
      <c r="H104">
        <f t="shared" si="24"/>
        <v>10.616767041007046</v>
      </c>
      <c r="I104">
        <f t="shared" si="16"/>
        <v>189.58512573226866</v>
      </c>
      <c r="J104">
        <f t="shared" si="17"/>
        <v>189585.12573226867</v>
      </c>
      <c r="K104">
        <f t="shared" si="18"/>
        <v>189.58512573226866</v>
      </c>
    </row>
    <row r="105" spans="1:11">
      <c r="B105" t="s">
        <v>15</v>
      </c>
      <c r="C105">
        <v>13</v>
      </c>
      <c r="E105">
        <f t="shared" si="29"/>
        <v>148.53817153628651</v>
      </c>
      <c r="G105">
        <f t="shared" si="25"/>
        <v>2517.5961277336696</v>
      </c>
      <c r="H105">
        <f t="shared" si="24"/>
        <v>2.5175961277336696</v>
      </c>
      <c r="I105">
        <f t="shared" si="16"/>
        <v>44.957073709529816</v>
      </c>
      <c r="J105">
        <f t="shared" si="17"/>
        <v>44957.073709529817</v>
      </c>
      <c r="K105">
        <f t="shared" si="18"/>
        <v>44.957073709529816</v>
      </c>
    </row>
    <row r="106" spans="1:11">
      <c r="B106" t="s">
        <v>19</v>
      </c>
      <c r="C106">
        <v>219</v>
      </c>
      <c r="E106">
        <f t="shared" si="29"/>
        <v>2090.1027332704994</v>
      </c>
      <c r="G106">
        <f t="shared" si="25"/>
        <v>35425.47005543219</v>
      </c>
      <c r="H106">
        <f t="shared" si="24"/>
        <v>35.425470055432193</v>
      </c>
      <c r="I106">
        <f t="shared" ref="I106:I134" si="30">H106/0.056</f>
        <v>632.59767956128917</v>
      </c>
      <c r="J106">
        <f t="shared" ref="J106:J134" si="31">I106*1000</f>
        <v>632597.67956128914</v>
      </c>
      <c r="K106">
        <f t="shared" ref="K106:K134" si="32">J106/1000</f>
        <v>632.59767956128917</v>
      </c>
    </row>
    <row r="107" spans="1:11">
      <c r="G107">
        <f t="shared" si="25"/>
        <v>0</v>
      </c>
      <c r="H107">
        <f t="shared" si="24"/>
        <v>0</v>
      </c>
      <c r="I107">
        <f t="shared" si="30"/>
        <v>0</v>
      </c>
      <c r="J107">
        <f t="shared" si="31"/>
        <v>0</v>
      </c>
      <c r="K107">
        <f t="shared" si="32"/>
        <v>0</v>
      </c>
    </row>
    <row r="108" spans="1:11">
      <c r="A108" s="1">
        <v>40263</v>
      </c>
      <c r="B108" t="s">
        <v>42</v>
      </c>
      <c r="G108">
        <f t="shared" si="25"/>
        <v>0</v>
      </c>
      <c r="H108">
        <f t="shared" si="24"/>
        <v>0</v>
      </c>
      <c r="I108">
        <f t="shared" si="30"/>
        <v>0</v>
      </c>
      <c r="J108">
        <f t="shared" si="31"/>
        <v>0</v>
      </c>
      <c r="K108">
        <f t="shared" si="32"/>
        <v>0</v>
      </c>
    </row>
    <row r="109" spans="1:11">
      <c r="A109" t="s">
        <v>41</v>
      </c>
      <c r="B109" t="s">
        <v>43</v>
      </c>
      <c r="C109">
        <v>21.8</v>
      </c>
      <c r="D109">
        <f>C109-C111</f>
        <v>-1.3000000000000007</v>
      </c>
      <c r="E109">
        <f>(D109-1.8525)/0.0746</f>
        <v>-42.258713136729234</v>
      </c>
      <c r="G109">
        <f t="shared" si="25"/>
        <v>-716.24937519880052</v>
      </c>
      <c r="H109">
        <f t="shared" si="24"/>
        <v>-0.7162493751988005</v>
      </c>
      <c r="I109">
        <f t="shared" si="30"/>
        <v>-12.790167414264294</v>
      </c>
      <c r="J109">
        <f t="shared" si="31"/>
        <v>-12790.167414264295</v>
      </c>
      <c r="K109" s="7">
        <f t="shared" si="32"/>
        <v>-12.790167414264294</v>
      </c>
    </row>
    <row r="110" spans="1:11">
      <c r="B110" t="s">
        <v>44</v>
      </c>
      <c r="C110">
        <v>42.6</v>
      </c>
      <c r="E110">
        <f t="shared" ref="E110:E122" si="33">(C110-1.8525)/0.0746</f>
        <v>546.21313672922258</v>
      </c>
      <c r="G110">
        <f t="shared" si="25"/>
        <v>9257.8497750715705</v>
      </c>
      <c r="H110">
        <f t="shared" si="24"/>
        <v>9.2578497750715698</v>
      </c>
      <c r="I110">
        <f t="shared" si="30"/>
        <v>165.31874598342088</v>
      </c>
      <c r="J110">
        <f t="shared" si="31"/>
        <v>165318.74598342087</v>
      </c>
      <c r="K110">
        <f t="shared" si="32"/>
        <v>165.31874598342088</v>
      </c>
    </row>
    <row r="111" spans="1:11">
      <c r="B111" t="s">
        <v>104</v>
      </c>
      <c r="C111">
        <v>23.1</v>
      </c>
      <c r="E111">
        <f t="shared" si="33"/>
        <v>284.81903485254696</v>
      </c>
      <c r="G111">
        <f t="shared" si="25"/>
        <v>4827.4412686872365</v>
      </c>
      <c r="H111">
        <f t="shared" si="24"/>
        <v>4.8274412686872363</v>
      </c>
      <c r="I111">
        <f t="shared" si="30"/>
        <v>86.204308369414932</v>
      </c>
      <c r="J111">
        <f t="shared" si="31"/>
        <v>86204.308369414925</v>
      </c>
      <c r="K111">
        <f t="shared" si="32"/>
        <v>86.204308369414917</v>
      </c>
    </row>
    <row r="112" spans="1:11">
      <c r="B112" t="s">
        <v>9</v>
      </c>
      <c r="C112">
        <v>207</v>
      </c>
      <c r="E112">
        <f t="shared" si="33"/>
        <v>2749.9664879356569</v>
      </c>
      <c r="G112">
        <f t="shared" si="25"/>
        <v>46609.601490434863</v>
      </c>
      <c r="H112">
        <f t="shared" si="24"/>
        <v>46.609601490434862</v>
      </c>
      <c r="I112">
        <f t="shared" si="30"/>
        <v>832.31431232919397</v>
      </c>
      <c r="J112">
        <f t="shared" si="31"/>
        <v>832314.31232919393</v>
      </c>
      <c r="K112">
        <f t="shared" si="32"/>
        <v>832.31431232919397</v>
      </c>
    </row>
    <row r="113" spans="1:11">
      <c r="G113">
        <f t="shared" si="25"/>
        <v>0</v>
      </c>
      <c r="H113">
        <f t="shared" si="24"/>
        <v>0</v>
      </c>
      <c r="I113">
        <f t="shared" si="30"/>
        <v>0</v>
      </c>
      <c r="J113">
        <f t="shared" si="31"/>
        <v>0</v>
      </c>
      <c r="K113">
        <f t="shared" si="32"/>
        <v>0</v>
      </c>
    </row>
    <row r="114" spans="1:11">
      <c r="B114" t="s">
        <v>45</v>
      </c>
      <c r="C114">
        <v>15.5</v>
      </c>
      <c r="D114">
        <f>C114-C116</f>
        <v>-10.199999999999999</v>
      </c>
      <c r="E114">
        <f>(D114-10.275)/0.061</f>
        <v>-335.65573770491807</v>
      </c>
      <c r="G114">
        <f t="shared" si="25"/>
        <v>-5689.0803000833566</v>
      </c>
      <c r="H114">
        <f t="shared" si="24"/>
        <v>-5.689080300083357</v>
      </c>
      <c r="I114">
        <f t="shared" si="30"/>
        <v>-101.59071964434565</v>
      </c>
      <c r="J114">
        <f t="shared" si="31"/>
        <v>-101590.71964434565</v>
      </c>
      <c r="K114" s="7">
        <f t="shared" si="32"/>
        <v>-101.59071964434565</v>
      </c>
    </row>
    <row r="115" spans="1:11">
      <c r="B115" t="s">
        <v>46</v>
      </c>
      <c r="C115">
        <v>53.5</v>
      </c>
      <c r="E115">
        <f t="shared" ref="E115:E117" si="34">(C115-10.275)/0.061</f>
        <v>708.60655737704917</v>
      </c>
      <c r="G115">
        <f t="shared" si="25"/>
        <v>12010.280633509308</v>
      </c>
      <c r="H115">
        <f t="shared" si="24"/>
        <v>12.010280633509309</v>
      </c>
      <c r="I115">
        <f t="shared" si="30"/>
        <v>214.46929702695195</v>
      </c>
      <c r="J115">
        <f t="shared" si="31"/>
        <v>214469.29702695194</v>
      </c>
      <c r="K115">
        <f t="shared" si="32"/>
        <v>214.46929702695195</v>
      </c>
    </row>
    <row r="116" spans="1:11">
      <c r="B116" t="s">
        <v>47</v>
      </c>
      <c r="C116">
        <v>25.7</v>
      </c>
      <c r="E116">
        <f t="shared" si="34"/>
        <v>252.86885245901638</v>
      </c>
      <c r="G116">
        <f t="shared" si="25"/>
        <v>4285.9127535426505</v>
      </c>
      <c r="H116">
        <f t="shared" si="24"/>
        <v>4.2859127535426502</v>
      </c>
      <c r="I116">
        <f t="shared" si="30"/>
        <v>76.534156313261605</v>
      </c>
      <c r="J116">
        <f t="shared" si="31"/>
        <v>76534.156313261599</v>
      </c>
      <c r="K116">
        <f t="shared" si="32"/>
        <v>76.534156313261605</v>
      </c>
    </row>
    <row r="117" spans="1:11">
      <c r="B117" t="s">
        <v>19</v>
      </c>
      <c r="C117">
        <v>205</v>
      </c>
      <c r="E117">
        <f t="shared" si="34"/>
        <v>3192.2131147540981</v>
      </c>
      <c r="G117">
        <f t="shared" si="25"/>
        <v>54105.307029730473</v>
      </c>
      <c r="H117">
        <f t="shared" si="24"/>
        <v>54.105307029730476</v>
      </c>
      <c r="I117">
        <f t="shared" si="30"/>
        <v>966.16619695947281</v>
      </c>
      <c r="J117">
        <f t="shared" si="31"/>
        <v>966166.19695947284</v>
      </c>
      <c r="K117">
        <f t="shared" si="32"/>
        <v>966.16619695947281</v>
      </c>
    </row>
    <row r="118" spans="1:11">
      <c r="G118">
        <f t="shared" si="25"/>
        <v>0</v>
      </c>
      <c r="H118">
        <f t="shared" si="24"/>
        <v>0</v>
      </c>
      <c r="I118">
        <f t="shared" si="30"/>
        <v>0</v>
      </c>
      <c r="J118">
        <f t="shared" si="31"/>
        <v>0</v>
      </c>
      <c r="K118">
        <f t="shared" si="32"/>
        <v>0</v>
      </c>
    </row>
    <row r="119" spans="1:11">
      <c r="A119" t="s">
        <v>113</v>
      </c>
      <c r="B119" t="s">
        <v>111</v>
      </c>
      <c r="C119">
        <v>13.4</v>
      </c>
      <c r="D119">
        <f>C119-C121</f>
        <v>-8.9999999999999982</v>
      </c>
      <c r="E119">
        <f>(D119-1.8525)/0.0746</f>
        <v>-145.47587131367291</v>
      </c>
      <c r="G119">
        <f t="shared" si="25"/>
        <v>-2465.6927341300493</v>
      </c>
      <c r="H119">
        <f t="shared" si="24"/>
        <v>-2.4656927341300494</v>
      </c>
      <c r="I119">
        <f t="shared" si="30"/>
        <v>-44.030227395179452</v>
      </c>
      <c r="J119">
        <f t="shared" si="31"/>
        <v>-44030.227395179449</v>
      </c>
      <c r="K119" s="7">
        <f t="shared" si="32"/>
        <v>-44.030227395179452</v>
      </c>
    </row>
    <row r="120" spans="1:11">
      <c r="B120" t="s">
        <v>112</v>
      </c>
      <c r="C120">
        <v>37.1</v>
      </c>
      <c r="E120">
        <f t="shared" si="33"/>
        <v>472.48659517426279</v>
      </c>
      <c r="G120">
        <f t="shared" si="25"/>
        <v>8008.2473758349615</v>
      </c>
      <c r="H120">
        <f t="shared" si="24"/>
        <v>8.0082473758349622</v>
      </c>
      <c r="I120">
        <f t="shared" si="30"/>
        <v>143.00441742562433</v>
      </c>
      <c r="J120">
        <f t="shared" si="31"/>
        <v>143004.41742562433</v>
      </c>
      <c r="K120">
        <f t="shared" si="32"/>
        <v>143.00441742562433</v>
      </c>
    </row>
    <row r="121" spans="1:11">
      <c r="B121" t="s">
        <v>104</v>
      </c>
      <c r="C121">
        <v>22.4</v>
      </c>
      <c r="E121">
        <f t="shared" si="33"/>
        <v>275.43565683646113</v>
      </c>
      <c r="G121">
        <f t="shared" si="25"/>
        <v>4668.4009633298492</v>
      </c>
      <c r="H121">
        <f t="shared" si="24"/>
        <v>4.6684009633298489</v>
      </c>
      <c r="I121">
        <f t="shared" si="30"/>
        <v>83.364302916604444</v>
      </c>
      <c r="J121">
        <f t="shared" si="31"/>
        <v>83364.302916604443</v>
      </c>
      <c r="K121">
        <f t="shared" si="32"/>
        <v>83.364302916604444</v>
      </c>
    </row>
    <row r="122" spans="1:11">
      <c r="B122" t="s">
        <v>19</v>
      </c>
      <c r="C122">
        <v>205</v>
      </c>
      <c r="E122">
        <f t="shared" si="33"/>
        <v>2723.1568364611262</v>
      </c>
      <c r="G122">
        <f t="shared" si="25"/>
        <v>46155.200617985189</v>
      </c>
      <c r="H122">
        <f t="shared" si="24"/>
        <v>46.155200617985187</v>
      </c>
      <c r="I122">
        <f t="shared" si="30"/>
        <v>824.20001103544973</v>
      </c>
      <c r="J122">
        <f t="shared" si="31"/>
        <v>824200.01103544969</v>
      </c>
      <c r="K122">
        <f t="shared" si="32"/>
        <v>824.20001103544973</v>
      </c>
    </row>
    <row r="123" spans="1:11">
      <c r="G123">
        <f t="shared" si="25"/>
        <v>0</v>
      </c>
      <c r="H123">
        <f t="shared" si="24"/>
        <v>0</v>
      </c>
      <c r="I123">
        <f t="shared" si="30"/>
        <v>0</v>
      </c>
      <c r="J123">
        <f t="shared" si="31"/>
        <v>0</v>
      </c>
      <c r="K123">
        <f t="shared" si="32"/>
        <v>0</v>
      </c>
    </row>
    <row r="124" spans="1:11">
      <c r="A124" s="1">
        <v>40264</v>
      </c>
      <c r="B124" t="s">
        <v>115</v>
      </c>
      <c r="C124">
        <v>78.3</v>
      </c>
      <c r="D124">
        <f>C124-C126</f>
        <v>56.3</v>
      </c>
      <c r="E124">
        <f>(D124-2.4819)/0.02</f>
        <v>2690.9049999999997</v>
      </c>
      <c r="G124">
        <f t="shared" si="25"/>
        <v>45608.559322033892</v>
      </c>
      <c r="H124">
        <f t="shared" si="24"/>
        <v>45.608559322033891</v>
      </c>
      <c r="I124">
        <f t="shared" si="30"/>
        <v>814.43855932203371</v>
      </c>
      <c r="J124">
        <f t="shared" si="31"/>
        <v>814438.55932203366</v>
      </c>
      <c r="K124" s="7">
        <f t="shared" si="32"/>
        <v>814.43855932203371</v>
      </c>
    </row>
    <row r="125" spans="1:11">
      <c r="A125" t="s">
        <v>114</v>
      </c>
      <c r="B125" t="s">
        <v>116</v>
      </c>
      <c r="C125">
        <v>167</v>
      </c>
      <c r="E125">
        <f t="shared" ref="E125:E127" si="35">(C125-2.4819)/0.02</f>
        <v>8225.9050000000007</v>
      </c>
      <c r="G125">
        <f t="shared" si="25"/>
        <v>139422.11864406781</v>
      </c>
      <c r="H125">
        <f t="shared" si="24"/>
        <v>139.42211864406781</v>
      </c>
      <c r="I125">
        <f t="shared" si="30"/>
        <v>2489.6806900726392</v>
      </c>
      <c r="J125">
        <f t="shared" si="31"/>
        <v>2489680.6900726394</v>
      </c>
      <c r="K125">
        <f t="shared" si="32"/>
        <v>2489.6806900726392</v>
      </c>
    </row>
    <row r="126" spans="1:11">
      <c r="B126" t="s">
        <v>104</v>
      </c>
      <c r="C126">
        <v>22</v>
      </c>
      <c r="E126">
        <f t="shared" si="35"/>
        <v>975.90499999999997</v>
      </c>
      <c r="G126">
        <f t="shared" si="25"/>
        <v>16540.762711864405</v>
      </c>
      <c r="H126">
        <f t="shared" si="24"/>
        <v>16.540762711864406</v>
      </c>
      <c r="I126">
        <f t="shared" si="30"/>
        <v>295.37076271186442</v>
      </c>
      <c r="J126">
        <f t="shared" si="31"/>
        <v>295370.76271186443</v>
      </c>
      <c r="K126">
        <f t="shared" si="32"/>
        <v>295.37076271186442</v>
      </c>
    </row>
    <row r="127" spans="1:11">
      <c r="B127" t="s">
        <v>117</v>
      </c>
      <c r="C127">
        <v>287</v>
      </c>
      <c r="E127">
        <f t="shared" si="35"/>
        <v>14225.905000000001</v>
      </c>
      <c r="G127">
        <f t="shared" si="25"/>
        <v>241117.03389830509</v>
      </c>
      <c r="H127">
        <f t="shared" si="24"/>
        <v>241.1170338983051</v>
      </c>
      <c r="I127">
        <f t="shared" si="30"/>
        <v>4305.6613196125909</v>
      </c>
      <c r="J127">
        <f t="shared" si="31"/>
        <v>4305661.3196125906</v>
      </c>
      <c r="K127">
        <f t="shared" si="32"/>
        <v>4305.6613196125909</v>
      </c>
    </row>
    <row r="128" spans="1:11">
      <c r="G128">
        <f t="shared" si="25"/>
        <v>0</v>
      </c>
      <c r="H128">
        <f t="shared" si="24"/>
        <v>0</v>
      </c>
      <c r="I128">
        <f t="shared" si="30"/>
        <v>0</v>
      </c>
      <c r="J128">
        <f t="shared" si="31"/>
        <v>0</v>
      </c>
      <c r="K128">
        <f t="shared" si="32"/>
        <v>0</v>
      </c>
    </row>
    <row r="129" spans="1:11">
      <c r="A129" s="1">
        <v>40291</v>
      </c>
      <c r="B129" t="s">
        <v>119</v>
      </c>
      <c r="C129">
        <v>0.38</v>
      </c>
      <c r="D129">
        <f>C129-C133</f>
        <v>-21.92</v>
      </c>
      <c r="E129">
        <f>(D129+3.8007)/0.1067</f>
        <v>-169.81537019681352</v>
      </c>
      <c r="G129">
        <f t="shared" si="25"/>
        <v>-2878.2266135053142</v>
      </c>
      <c r="H129">
        <f t="shared" si="24"/>
        <v>-2.8782266135053143</v>
      </c>
      <c r="I129">
        <f t="shared" si="30"/>
        <v>-51.3969038125949</v>
      </c>
      <c r="J129">
        <f t="shared" si="31"/>
        <v>-51396.903812594901</v>
      </c>
      <c r="K129" s="7">
        <f t="shared" si="32"/>
        <v>-51.3969038125949</v>
      </c>
    </row>
    <row r="130" spans="1:11">
      <c r="A130" t="s">
        <v>118</v>
      </c>
      <c r="B130" t="s">
        <v>120</v>
      </c>
      <c r="C130">
        <v>68.2</v>
      </c>
      <c r="E130">
        <f t="shared" ref="E130:E134" si="36">(C130+3.8007)/0.1067</f>
        <v>674.79568884723528</v>
      </c>
      <c r="G130">
        <f t="shared" si="25"/>
        <v>11437.215065207378</v>
      </c>
      <c r="H130">
        <f t="shared" si="24"/>
        <v>11.437215065207377</v>
      </c>
      <c r="I130">
        <f t="shared" si="30"/>
        <v>204.23598330727458</v>
      </c>
      <c r="J130">
        <f t="shared" si="31"/>
        <v>204235.98330727458</v>
      </c>
      <c r="K130">
        <f t="shared" si="32"/>
        <v>204.23598330727458</v>
      </c>
    </row>
    <row r="131" spans="1:11">
      <c r="B131" t="s">
        <v>121</v>
      </c>
      <c r="C131">
        <v>15.5</v>
      </c>
      <c r="D131">
        <f>C131-C133</f>
        <v>-6.8000000000000007</v>
      </c>
      <c r="E131">
        <f>(D131+3.8007)/0.1067</f>
        <v>-28.109653233364579</v>
      </c>
      <c r="G131">
        <f t="shared" si="25"/>
        <v>-476.43480056550129</v>
      </c>
      <c r="H131">
        <f t="shared" si="24"/>
        <v>-0.4764348005655013</v>
      </c>
      <c r="I131">
        <f t="shared" si="30"/>
        <v>-8.5077642958125228</v>
      </c>
      <c r="J131">
        <f t="shared" si="31"/>
        <v>-8507.7642958125234</v>
      </c>
      <c r="K131" s="7">
        <f t="shared" si="32"/>
        <v>-8.5077642958125228</v>
      </c>
    </row>
    <row r="132" spans="1:11">
      <c r="A132" t="s">
        <v>123</v>
      </c>
      <c r="B132" t="s">
        <v>122</v>
      </c>
      <c r="C132">
        <v>44.5</v>
      </c>
      <c r="E132">
        <f t="shared" si="36"/>
        <v>452.6776007497657</v>
      </c>
      <c r="G132">
        <f t="shared" si="25"/>
        <v>7672.501707623147</v>
      </c>
      <c r="H132">
        <f t="shared" si="24"/>
        <v>7.6725017076231472</v>
      </c>
      <c r="I132">
        <f t="shared" si="30"/>
        <v>137.00895906469904</v>
      </c>
      <c r="J132">
        <f t="shared" si="31"/>
        <v>137008.95906469904</v>
      </c>
      <c r="K132">
        <f t="shared" si="32"/>
        <v>137.00895906469904</v>
      </c>
    </row>
    <row r="133" spans="1:11">
      <c r="B133" t="s">
        <v>104</v>
      </c>
      <c r="C133">
        <v>22.3</v>
      </c>
      <c r="E133">
        <f t="shared" si="36"/>
        <v>244.61761949390814</v>
      </c>
      <c r="G133">
        <f t="shared" si="25"/>
        <v>4146.0613473543754</v>
      </c>
      <c r="H133">
        <f t="shared" si="24"/>
        <v>4.146061347354375</v>
      </c>
      <c r="I133">
        <f t="shared" si="30"/>
        <v>74.036809774185272</v>
      </c>
      <c r="J133">
        <f t="shared" si="31"/>
        <v>74036.809774185269</v>
      </c>
      <c r="K133">
        <f t="shared" si="32"/>
        <v>74.036809774185272</v>
      </c>
    </row>
    <row r="134" spans="1:11">
      <c r="B134" t="s">
        <v>9</v>
      </c>
      <c r="C134">
        <v>254</v>
      </c>
      <c r="E134">
        <f t="shared" si="36"/>
        <v>2416.1265229615747</v>
      </c>
      <c r="G134">
        <f t="shared" si="25"/>
        <v>40951.29699934872</v>
      </c>
      <c r="H134">
        <f t="shared" si="24"/>
        <v>40.95129699934872</v>
      </c>
      <c r="I134">
        <f t="shared" si="30"/>
        <v>731.27316070265567</v>
      </c>
      <c r="J134">
        <f t="shared" si="31"/>
        <v>731273.16070265567</v>
      </c>
      <c r="K134">
        <f t="shared" si="32"/>
        <v>731.27316070265567</v>
      </c>
    </row>
  </sheetData>
  <mergeCells count="1">
    <mergeCell ref="E8:F8"/>
  </mergeCells>
  <phoneticPr fontId="4" type="noConversion"/>
  <printOptions gridLines="1"/>
  <pageMargins left="0.75" right="0.75" top="1" bottom="1" header="0.5" footer="0.5"/>
  <pageSetup scale="53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T147"/>
  <sheetViews>
    <sheetView workbookViewId="0">
      <selection activeCell="F169" sqref="F169"/>
    </sheetView>
  </sheetViews>
  <sheetFormatPr baseColWidth="10" defaultRowHeight="13" x14ac:dyDescent="0"/>
  <cols>
    <col min="2" max="2" width="17.7109375" customWidth="1"/>
    <col min="10" max="10" width="13.140625" customWidth="1"/>
    <col min="11" max="11" width="12.85546875" customWidth="1"/>
    <col min="12" max="12" width="17.85546875" customWidth="1"/>
    <col min="15" max="15" width="12.28515625" customWidth="1"/>
  </cols>
  <sheetData>
    <row r="5" spans="2:20">
      <c r="B5" t="s">
        <v>79</v>
      </c>
    </row>
    <row r="6" spans="2:20">
      <c r="C6" s="1">
        <v>39875</v>
      </c>
      <c r="D6" s="1">
        <v>39877</v>
      </c>
      <c r="E6" s="1">
        <v>39913</v>
      </c>
      <c r="F6" s="1">
        <v>39949</v>
      </c>
      <c r="G6" s="1">
        <v>40005</v>
      </c>
      <c r="H6" s="1">
        <v>40089</v>
      </c>
      <c r="I6" s="1">
        <v>40247</v>
      </c>
      <c r="J6" t="s">
        <v>124</v>
      </c>
      <c r="K6" t="s">
        <v>125</v>
      </c>
      <c r="L6" t="s">
        <v>126</v>
      </c>
      <c r="M6" t="s">
        <v>127</v>
      </c>
      <c r="N6" s="1">
        <v>40261</v>
      </c>
      <c r="O6" t="s">
        <v>128</v>
      </c>
      <c r="P6" t="s">
        <v>129</v>
      </c>
      <c r="Q6" t="s">
        <v>130</v>
      </c>
      <c r="R6" t="s">
        <v>131</v>
      </c>
      <c r="S6" s="1">
        <v>40264</v>
      </c>
      <c r="T6" s="1">
        <v>40291</v>
      </c>
    </row>
    <row r="7" spans="2:20">
      <c r="B7">
        <v>0</v>
      </c>
      <c r="E7">
        <v>0</v>
      </c>
      <c r="F7">
        <v>0</v>
      </c>
      <c r="G7">
        <v>0</v>
      </c>
      <c r="H7">
        <v>0</v>
      </c>
      <c r="I7">
        <v>0.11</v>
      </c>
      <c r="J7">
        <v>0.15</v>
      </c>
      <c r="K7">
        <v>0.13</v>
      </c>
      <c r="L7">
        <v>0.15</v>
      </c>
      <c r="M7">
        <v>0.15</v>
      </c>
      <c r="N7">
        <v>0.12</v>
      </c>
      <c r="O7">
        <v>0.12</v>
      </c>
      <c r="P7">
        <v>0.12</v>
      </c>
      <c r="Q7">
        <v>0.12</v>
      </c>
      <c r="R7">
        <v>0.14000000000000001</v>
      </c>
      <c r="S7">
        <v>0.12</v>
      </c>
      <c r="T7">
        <v>0.15</v>
      </c>
    </row>
    <row r="8" spans="2:20">
      <c r="B8">
        <v>25</v>
      </c>
      <c r="E8">
        <v>0.01</v>
      </c>
      <c r="F8">
        <v>0.02</v>
      </c>
      <c r="G8">
        <v>0.01</v>
      </c>
      <c r="H8">
        <v>-0.01</v>
      </c>
      <c r="I8">
        <v>0.14000000000000001</v>
      </c>
      <c r="J8">
        <v>0.13</v>
      </c>
      <c r="K8">
        <v>0.18</v>
      </c>
      <c r="L8">
        <v>0.15</v>
      </c>
      <c r="M8">
        <v>0.2</v>
      </c>
      <c r="N8">
        <v>0.13</v>
      </c>
      <c r="O8">
        <v>0.13</v>
      </c>
      <c r="P8">
        <v>0.14000000000000001</v>
      </c>
      <c r="Q8">
        <v>0.14000000000000001</v>
      </c>
      <c r="R8">
        <v>0.16</v>
      </c>
      <c r="S8">
        <v>0.14000000000000001</v>
      </c>
      <c r="T8">
        <v>0.18</v>
      </c>
    </row>
    <row r="9" spans="2:20">
      <c r="B9">
        <v>50</v>
      </c>
      <c r="E9">
        <v>0.01</v>
      </c>
      <c r="F9">
        <v>0.03</v>
      </c>
      <c r="G9">
        <v>0.03</v>
      </c>
      <c r="H9">
        <v>-7.0000000000000001E-3</v>
      </c>
      <c r="I9">
        <v>0.17</v>
      </c>
      <c r="J9">
        <v>0.15</v>
      </c>
      <c r="K9">
        <v>0.18</v>
      </c>
      <c r="L9">
        <v>0.2</v>
      </c>
      <c r="M9">
        <v>0.25</v>
      </c>
      <c r="N9">
        <v>0.14000000000000001</v>
      </c>
      <c r="O9">
        <v>0.15</v>
      </c>
      <c r="P9">
        <v>0.16</v>
      </c>
      <c r="Q9">
        <v>0.16</v>
      </c>
      <c r="R9">
        <v>0.21</v>
      </c>
      <c r="S9">
        <v>0.15</v>
      </c>
      <c r="T9">
        <v>0.21</v>
      </c>
    </row>
    <row r="10" spans="2:20">
      <c r="B10">
        <v>100</v>
      </c>
      <c r="E10">
        <v>0.03</v>
      </c>
      <c r="F10">
        <v>0.05</v>
      </c>
      <c r="G10">
        <v>0.05</v>
      </c>
      <c r="H10">
        <v>0.05</v>
      </c>
      <c r="I10">
        <v>0.2</v>
      </c>
      <c r="J10">
        <v>0.17</v>
      </c>
      <c r="K10">
        <v>0.22</v>
      </c>
      <c r="L10">
        <v>0.2</v>
      </c>
      <c r="M10">
        <v>0.25</v>
      </c>
      <c r="N10">
        <v>0.19</v>
      </c>
      <c r="O10">
        <v>0.19</v>
      </c>
      <c r="P10">
        <v>0.2</v>
      </c>
      <c r="Q10">
        <v>0.19</v>
      </c>
      <c r="R10">
        <v>0.23</v>
      </c>
      <c r="S10">
        <v>0.2</v>
      </c>
      <c r="T10">
        <v>0.23</v>
      </c>
    </row>
    <row r="11" spans="2:20">
      <c r="B11">
        <v>250</v>
      </c>
      <c r="E11">
        <v>0.1</v>
      </c>
      <c r="F11">
        <v>0.1</v>
      </c>
      <c r="G11">
        <v>0.06</v>
      </c>
      <c r="H11">
        <v>0.12</v>
      </c>
      <c r="I11">
        <v>0.26</v>
      </c>
      <c r="J11">
        <v>0.26</v>
      </c>
      <c r="K11">
        <v>0.33</v>
      </c>
      <c r="L11">
        <v>0.28000000000000003</v>
      </c>
      <c r="M11">
        <v>0.32</v>
      </c>
      <c r="N11">
        <v>0.25</v>
      </c>
      <c r="O11">
        <v>0.27</v>
      </c>
      <c r="P11">
        <v>0.2</v>
      </c>
      <c r="Q11">
        <v>0.27</v>
      </c>
      <c r="R11">
        <v>0.31</v>
      </c>
      <c r="S11">
        <v>0.27</v>
      </c>
      <c r="T11">
        <v>0.34</v>
      </c>
    </row>
    <row r="12" spans="2:20">
      <c r="B12">
        <v>500</v>
      </c>
      <c r="C12">
        <v>0.28999999999999998</v>
      </c>
      <c r="D12">
        <v>0.15</v>
      </c>
      <c r="E12">
        <v>0.22</v>
      </c>
      <c r="F12">
        <v>0.28000000000000003</v>
      </c>
      <c r="G12">
        <v>0.27</v>
      </c>
      <c r="H12">
        <v>0.28999999999999998</v>
      </c>
      <c r="I12">
        <v>0.55000000000000004</v>
      </c>
      <c r="J12">
        <v>0.56000000000000005</v>
      </c>
      <c r="K12">
        <v>0.63</v>
      </c>
      <c r="L12">
        <v>0.51</v>
      </c>
      <c r="M12">
        <v>0.57999999999999996</v>
      </c>
      <c r="N12">
        <v>0.46</v>
      </c>
      <c r="O12">
        <v>0.45</v>
      </c>
      <c r="P12">
        <v>0.57999999999999996</v>
      </c>
      <c r="Q12">
        <v>0.45</v>
      </c>
      <c r="R12">
        <v>0.56000000000000005</v>
      </c>
      <c r="S12">
        <v>0.47</v>
      </c>
      <c r="T12">
        <v>0.56999999999999995</v>
      </c>
    </row>
    <row r="13" spans="2:20">
      <c r="B13">
        <v>1000</v>
      </c>
      <c r="C13">
        <v>0.48</v>
      </c>
      <c r="D13">
        <v>0.27</v>
      </c>
      <c r="E13">
        <v>0.4</v>
      </c>
      <c r="F13">
        <v>0.44</v>
      </c>
      <c r="G13">
        <v>0.52</v>
      </c>
      <c r="H13">
        <v>0.52</v>
      </c>
      <c r="I13">
        <v>0.78</v>
      </c>
      <c r="J13">
        <v>0.75</v>
      </c>
      <c r="K13">
        <v>0.77</v>
      </c>
      <c r="L13">
        <v>0.74</v>
      </c>
      <c r="M13">
        <v>0.82</v>
      </c>
      <c r="N13">
        <v>0.74</v>
      </c>
      <c r="O13">
        <v>0.78</v>
      </c>
      <c r="P13">
        <v>0.83</v>
      </c>
      <c r="Q13">
        <v>0.71</v>
      </c>
      <c r="R13">
        <v>0.81</v>
      </c>
      <c r="S13">
        <v>0.73</v>
      </c>
      <c r="T13">
        <v>0.83</v>
      </c>
    </row>
    <row r="14" spans="2:20">
      <c r="B14">
        <v>2000</v>
      </c>
      <c r="C14">
        <v>0.72</v>
      </c>
      <c r="D14">
        <v>0.55000000000000004</v>
      </c>
      <c r="E14">
        <v>0.65</v>
      </c>
      <c r="F14">
        <v>0.63</v>
      </c>
      <c r="G14">
        <v>0.68</v>
      </c>
      <c r="H14">
        <v>0.72</v>
      </c>
      <c r="I14">
        <v>1.02</v>
      </c>
      <c r="J14">
        <v>0.98</v>
      </c>
      <c r="K14">
        <v>1.02</v>
      </c>
      <c r="L14">
        <v>0.97</v>
      </c>
      <c r="M14">
        <v>1.03</v>
      </c>
      <c r="N14">
        <v>0.89</v>
      </c>
      <c r="O14">
        <v>0.95</v>
      </c>
      <c r="P14">
        <v>0.87</v>
      </c>
      <c r="Q14">
        <v>0.94</v>
      </c>
      <c r="R14">
        <v>0.95</v>
      </c>
      <c r="S14">
        <v>0.93</v>
      </c>
      <c r="T14">
        <v>0.92</v>
      </c>
    </row>
    <row r="15" spans="2:20">
      <c r="B15">
        <v>3500</v>
      </c>
      <c r="C15">
        <v>0.79</v>
      </c>
      <c r="D15">
        <v>0.73</v>
      </c>
      <c r="E15">
        <v>0.79</v>
      </c>
      <c r="F15">
        <v>0.77</v>
      </c>
      <c r="G15">
        <v>0.71</v>
      </c>
      <c r="H15">
        <v>0.77</v>
      </c>
      <c r="I15">
        <v>1.06</v>
      </c>
      <c r="J15">
        <v>1.07</v>
      </c>
      <c r="K15">
        <v>1.1000000000000001</v>
      </c>
      <c r="L15">
        <v>1.03</v>
      </c>
      <c r="M15">
        <v>1.1399999999999999</v>
      </c>
      <c r="N15">
        <v>1</v>
      </c>
      <c r="O15">
        <v>1.01</v>
      </c>
      <c r="P15">
        <v>1</v>
      </c>
      <c r="Q15">
        <v>1.1000000000000001</v>
      </c>
      <c r="R15">
        <v>1.1000000000000001</v>
      </c>
      <c r="S15">
        <v>1.1000000000000001</v>
      </c>
      <c r="T15">
        <v>1</v>
      </c>
    </row>
    <row r="21" spans="1:13">
      <c r="A21" s="3" t="s">
        <v>68</v>
      </c>
      <c r="B21" s="3" t="s">
        <v>69</v>
      </c>
      <c r="C21" s="3" t="s">
        <v>5</v>
      </c>
      <c r="D21" s="3"/>
      <c r="E21" s="21" t="s">
        <v>73</v>
      </c>
      <c r="F21" s="21"/>
      <c r="G21" s="3" t="s">
        <v>74</v>
      </c>
      <c r="H21" s="3" t="s">
        <v>75</v>
      </c>
      <c r="I21" s="3" t="s">
        <v>76</v>
      </c>
      <c r="J21" s="3" t="s">
        <v>77</v>
      </c>
      <c r="K21" s="3" t="s">
        <v>78</v>
      </c>
      <c r="L21" s="3" t="s">
        <v>92</v>
      </c>
      <c r="M21" s="3" t="s">
        <v>93</v>
      </c>
    </row>
    <row r="22" spans="1:13">
      <c r="A22" s="1">
        <v>39875</v>
      </c>
      <c r="B22" t="s">
        <v>80</v>
      </c>
      <c r="C22">
        <v>0.41</v>
      </c>
      <c r="E22">
        <f>(C22-0.29)/0.0002</f>
        <v>600</v>
      </c>
      <c r="G22">
        <f>(E22/(5.9*10^13))*(1*10^15)</f>
        <v>10169.491525423728</v>
      </c>
      <c r="H22">
        <f>G22/1000</f>
        <v>10.169491525423728</v>
      </c>
      <c r="I22">
        <f>H22/0.056</f>
        <v>181.59806295399514</v>
      </c>
      <c r="J22">
        <f>I22*1000</f>
        <v>181598.06295399513</v>
      </c>
      <c r="K22">
        <f>J22/1000</f>
        <v>181.59806295399514</v>
      </c>
      <c r="L22">
        <f>K22-K24</f>
        <v>-282.13579336082978</v>
      </c>
    </row>
    <row r="23" spans="1:13">
      <c r="A23" t="s">
        <v>94</v>
      </c>
      <c r="B23" t="s">
        <v>81</v>
      </c>
      <c r="C23">
        <v>0.7</v>
      </c>
      <c r="E23">
        <f t="shared" ref="E23:E25" si="0">(C23-0.29)/0.0002</f>
        <v>2050</v>
      </c>
      <c r="G23">
        <f t="shared" ref="G23:G87" si="1">(E23/(5.9*10^13))*(1*10^15)</f>
        <v>34745.762711864409</v>
      </c>
      <c r="H23">
        <f t="shared" ref="H23:H86" si="2">G23/1000</f>
        <v>34.745762711864408</v>
      </c>
      <c r="I23">
        <v>596.67030974684201</v>
      </c>
      <c r="J23">
        <v>596670.30974684202</v>
      </c>
      <c r="K23">
        <v>596.67030974684201</v>
      </c>
      <c r="M23">
        <f>K23-K25</f>
        <v>-313.94586788372999</v>
      </c>
    </row>
    <row r="24" spans="1:13">
      <c r="B24" t="s">
        <v>82</v>
      </c>
      <c r="C24">
        <v>0.6</v>
      </c>
      <c r="E24">
        <f t="shared" si="0"/>
        <v>1550</v>
      </c>
      <c r="G24">
        <f t="shared" si="1"/>
        <v>26271.186440677968</v>
      </c>
      <c r="H24">
        <f t="shared" si="2"/>
        <v>26.271186440677969</v>
      </c>
      <c r="I24">
        <v>463.73385631482489</v>
      </c>
      <c r="J24">
        <v>463733.85631482489</v>
      </c>
      <c r="K24">
        <v>463.73385631482489</v>
      </c>
    </row>
    <row r="25" spans="1:13">
      <c r="B25" t="s">
        <v>83</v>
      </c>
      <c r="C25">
        <v>0.77</v>
      </c>
      <c r="E25">
        <f t="shared" si="0"/>
        <v>2400</v>
      </c>
      <c r="G25">
        <f t="shared" si="1"/>
        <v>40677.96610169491</v>
      </c>
      <c r="H25">
        <f t="shared" si="2"/>
        <v>40.677966101694913</v>
      </c>
      <c r="I25">
        <v>910.616177630572</v>
      </c>
      <c r="J25">
        <v>910616.177630572</v>
      </c>
      <c r="K25">
        <v>910.616177630572</v>
      </c>
    </row>
    <row r="26" spans="1:13">
      <c r="E26" s="4"/>
      <c r="F26" s="4"/>
      <c r="G26" s="4"/>
      <c r="H26" s="4"/>
      <c r="I26" s="4"/>
      <c r="J26" s="4"/>
      <c r="K26" s="4"/>
    </row>
    <row r="27" spans="1:13">
      <c r="A27" s="1">
        <v>39877</v>
      </c>
      <c r="B27" t="s">
        <v>84</v>
      </c>
      <c r="C27">
        <v>0.52</v>
      </c>
      <c r="E27">
        <f>(C27-0.0833)/0.0002</f>
        <v>2183.5</v>
      </c>
      <c r="G27">
        <f t="shared" si="1"/>
        <v>37008.47457627119</v>
      </c>
      <c r="H27">
        <f t="shared" si="2"/>
        <v>37.00847457627119</v>
      </c>
      <c r="I27">
        <v>590.4963680387408</v>
      </c>
      <c r="J27">
        <v>590496.36803874094</v>
      </c>
      <c r="K27">
        <v>590.4963680387408</v>
      </c>
      <c r="L27">
        <f>K27-K31</f>
        <v>69.84540882845954</v>
      </c>
    </row>
    <row r="28" spans="1:13">
      <c r="A28" t="s">
        <v>94</v>
      </c>
      <c r="B28" t="s">
        <v>85</v>
      </c>
      <c r="C28">
        <v>0.54</v>
      </c>
      <c r="E28">
        <f t="shared" ref="E28:E32" si="3">(C28-0.0833)/0.0002</f>
        <v>2283.5</v>
      </c>
      <c r="G28">
        <f t="shared" si="1"/>
        <v>38703.389830508473</v>
      </c>
      <c r="H28">
        <f t="shared" si="2"/>
        <v>38.70338983050847</v>
      </c>
      <c r="I28">
        <v>1223.1191514505372</v>
      </c>
      <c r="J28">
        <v>1223119.1514505399</v>
      </c>
      <c r="K28">
        <v>1223.1191514505372</v>
      </c>
      <c r="M28">
        <f>K28-K32</f>
        <v>-233.6208502193308</v>
      </c>
    </row>
    <row r="29" spans="1:13">
      <c r="B29" t="s">
        <v>87</v>
      </c>
      <c r="C29">
        <v>0.62</v>
      </c>
      <c r="E29">
        <f t="shared" si="3"/>
        <v>2683.4999999999995</v>
      </c>
      <c r="G29">
        <f t="shared" si="1"/>
        <v>45483.05084745762</v>
      </c>
      <c r="H29">
        <f t="shared" si="2"/>
        <v>45.483050847457619</v>
      </c>
      <c r="I29">
        <v>810.46926480883212</v>
      </c>
      <c r="J29">
        <v>810469.2648088322</v>
      </c>
      <c r="K29">
        <v>810.46926480883212</v>
      </c>
      <c r="L29">
        <f>K29-K31</f>
        <v>289.81830559855086</v>
      </c>
    </row>
    <row r="30" spans="1:13">
      <c r="B30" t="s">
        <v>89</v>
      </c>
      <c r="C30">
        <v>0.48</v>
      </c>
      <c r="E30">
        <f t="shared" si="3"/>
        <v>1983.5</v>
      </c>
      <c r="G30">
        <f t="shared" si="1"/>
        <v>33618.644067796609</v>
      </c>
      <c r="H30">
        <f t="shared" si="2"/>
        <v>33.618644067796609</v>
      </c>
      <c r="I30">
        <v>1063.3578140153238</v>
      </c>
      <c r="J30">
        <v>1063357.81401532</v>
      </c>
      <c r="K30">
        <v>1063.3578140153238</v>
      </c>
      <c r="M30">
        <f>K30-K32</f>
        <v>-393.38218765454417</v>
      </c>
    </row>
    <row r="31" spans="1:13">
      <c r="B31" t="s">
        <v>82</v>
      </c>
      <c r="C31">
        <v>0.35</v>
      </c>
      <c r="E31">
        <f t="shared" si="3"/>
        <v>1333.5</v>
      </c>
      <c r="G31">
        <f t="shared" si="1"/>
        <v>22601.69491525424</v>
      </c>
      <c r="H31">
        <f t="shared" si="2"/>
        <v>22.601694915254239</v>
      </c>
      <c r="I31">
        <v>520.65095921028126</v>
      </c>
      <c r="J31">
        <v>520650.95921028132</v>
      </c>
      <c r="K31">
        <v>520.65095921028126</v>
      </c>
    </row>
    <row r="32" spans="1:13">
      <c r="B32" t="s">
        <v>83</v>
      </c>
      <c r="C32">
        <v>0.5</v>
      </c>
      <c r="E32">
        <f t="shared" si="3"/>
        <v>2083.5</v>
      </c>
      <c r="G32">
        <f t="shared" si="1"/>
        <v>35313.559322033892</v>
      </c>
      <c r="H32">
        <f t="shared" si="2"/>
        <v>35.313559322033889</v>
      </c>
      <c r="I32">
        <v>1456.740001669868</v>
      </c>
      <c r="J32">
        <f>I32*1000</f>
        <v>1456740.0016698679</v>
      </c>
      <c r="K32">
        <v>1456.740001669868</v>
      </c>
    </row>
    <row r="34" spans="1:13">
      <c r="A34" s="1">
        <v>39913</v>
      </c>
      <c r="B34" t="s">
        <v>48</v>
      </c>
      <c r="C34">
        <v>0.67</v>
      </c>
      <c r="E34">
        <f>(C34-0.0202)/0.0003</f>
        <v>2166.0000000000005</v>
      </c>
      <c r="G34">
        <f t="shared" si="1"/>
        <v>36711.86440677967</v>
      </c>
      <c r="H34">
        <f t="shared" si="2"/>
        <v>36.711864406779668</v>
      </c>
      <c r="I34">
        <f t="shared" ref="I34:I39" si="4">H34/0.056</f>
        <v>655.56900726392269</v>
      </c>
      <c r="J34">
        <f t="shared" ref="J34:J39" si="5">I34*1000</f>
        <v>655569.00726392271</v>
      </c>
      <c r="K34">
        <f t="shared" ref="K34:K39" si="6">J34/1000</f>
        <v>655.56900726392269</v>
      </c>
      <c r="L34">
        <f>K34-K38</f>
        <v>544.79418886198562</v>
      </c>
    </row>
    <row r="35" spans="1:13">
      <c r="A35" t="s">
        <v>95</v>
      </c>
      <c r="B35" t="s">
        <v>49</v>
      </c>
      <c r="C35">
        <v>0.55000000000000004</v>
      </c>
      <c r="E35">
        <f t="shared" ref="E35:E39" si="7">(C35-0.0202)/0.0003</f>
        <v>1766.0000000000002</v>
      </c>
      <c r="G35">
        <f t="shared" si="1"/>
        <v>29932.203389830513</v>
      </c>
      <c r="H35">
        <f t="shared" si="2"/>
        <v>29.932203389830512</v>
      </c>
      <c r="I35">
        <f t="shared" si="4"/>
        <v>534.50363196125909</v>
      </c>
      <c r="J35">
        <f t="shared" si="5"/>
        <v>534503.63196125906</v>
      </c>
      <c r="K35">
        <f t="shared" si="6"/>
        <v>534.50363196125909</v>
      </c>
      <c r="M35">
        <f>K35-K39</f>
        <v>-252.21953188054897</v>
      </c>
    </row>
    <row r="36" spans="1:13">
      <c r="B36" t="s">
        <v>50</v>
      </c>
      <c r="C36">
        <v>0.23</v>
      </c>
      <c r="E36">
        <f t="shared" si="7"/>
        <v>699.33333333333348</v>
      </c>
      <c r="G36">
        <f t="shared" si="1"/>
        <v>11853.107344632772</v>
      </c>
      <c r="H36">
        <f t="shared" si="2"/>
        <v>11.853107344632772</v>
      </c>
      <c r="I36">
        <f t="shared" si="4"/>
        <v>211.66263115415663</v>
      </c>
      <c r="J36">
        <f t="shared" si="5"/>
        <v>211662.63115415664</v>
      </c>
      <c r="K36">
        <f t="shared" si="6"/>
        <v>211.66263115415663</v>
      </c>
      <c r="L36">
        <f>K36-K38</f>
        <v>100.88781275221956</v>
      </c>
    </row>
    <row r="37" spans="1:13">
      <c r="B37" t="s">
        <v>51</v>
      </c>
      <c r="C37">
        <v>0.35</v>
      </c>
      <c r="E37">
        <f t="shared" si="7"/>
        <v>1099.3333333333333</v>
      </c>
      <c r="G37">
        <f t="shared" si="1"/>
        <v>18632.768361581919</v>
      </c>
      <c r="H37">
        <f t="shared" si="2"/>
        <v>18.63276836158192</v>
      </c>
      <c r="I37">
        <f t="shared" si="4"/>
        <v>332.72800645682003</v>
      </c>
      <c r="J37">
        <f t="shared" si="5"/>
        <v>332728.00645682</v>
      </c>
      <c r="K37">
        <f t="shared" si="6"/>
        <v>332.72800645682003</v>
      </c>
      <c r="M37">
        <f>K37-K39</f>
        <v>-453.99515738498803</v>
      </c>
    </row>
    <row r="38" spans="1:13">
      <c r="B38" t="s">
        <v>52</v>
      </c>
      <c r="C38">
        <v>0.13</v>
      </c>
      <c r="E38">
        <f t="shared" si="7"/>
        <v>366.00000000000006</v>
      </c>
      <c r="G38">
        <f t="shared" si="1"/>
        <v>6203.3898305084758</v>
      </c>
      <c r="H38">
        <f t="shared" si="2"/>
        <v>6.2033898305084758</v>
      </c>
      <c r="I38">
        <f t="shared" si="4"/>
        <v>110.77481840193707</v>
      </c>
      <c r="J38">
        <f t="shared" si="5"/>
        <v>110774.81840193707</v>
      </c>
      <c r="K38">
        <f t="shared" si="6"/>
        <v>110.77481840193707</v>
      </c>
    </row>
    <row r="39" spans="1:13">
      <c r="B39" t="s">
        <v>53</v>
      </c>
      <c r="C39">
        <v>0.8</v>
      </c>
      <c r="E39">
        <f t="shared" si="7"/>
        <v>2599.3333333333339</v>
      </c>
      <c r="G39">
        <f t="shared" si="1"/>
        <v>44056.497175141252</v>
      </c>
      <c r="H39">
        <f t="shared" si="2"/>
        <v>44.056497175141253</v>
      </c>
      <c r="I39">
        <f t="shared" si="4"/>
        <v>786.72316384180806</v>
      </c>
      <c r="J39">
        <f t="shared" si="5"/>
        <v>786723.1638418081</v>
      </c>
      <c r="K39">
        <f t="shared" si="6"/>
        <v>786.72316384180806</v>
      </c>
    </row>
    <row r="41" spans="1:13">
      <c r="A41" s="1">
        <v>39949</v>
      </c>
      <c r="B41" t="s">
        <v>54</v>
      </c>
      <c r="C41">
        <v>0.19</v>
      </c>
      <c r="E41">
        <f>(C41-0.0507)/0.0003</f>
        <v>464.33333333333337</v>
      </c>
      <c r="G41">
        <f t="shared" si="1"/>
        <v>7870.0564971751428</v>
      </c>
      <c r="H41">
        <f t="shared" si="2"/>
        <v>7.8700564971751428</v>
      </c>
      <c r="I41">
        <f t="shared" ref="I41:I46" si="8">H41/0.056</f>
        <v>140.53672316384183</v>
      </c>
      <c r="J41">
        <f t="shared" ref="J41:J46" si="9">I41*1000</f>
        <v>140536.72316384182</v>
      </c>
      <c r="K41">
        <f t="shared" ref="K41:K46" si="10">J41/1000</f>
        <v>140.53672316384183</v>
      </c>
      <c r="L41">
        <f>K41-K45</f>
        <v>100.88781275221955</v>
      </c>
    </row>
    <row r="42" spans="1:13">
      <c r="A42" t="s">
        <v>96</v>
      </c>
      <c r="B42" t="s">
        <v>55</v>
      </c>
      <c r="E42">
        <f t="shared" ref="E42:E46" si="11">(C42-0.0507)/0.0003</f>
        <v>-169.00000000000003</v>
      </c>
      <c r="G42">
        <f t="shared" si="1"/>
        <v>-2864.4067796610175</v>
      </c>
      <c r="H42">
        <f t="shared" si="2"/>
        <v>-2.8644067796610173</v>
      </c>
      <c r="I42">
        <f t="shared" si="8"/>
        <v>-51.150121065375309</v>
      </c>
      <c r="J42">
        <f t="shared" si="9"/>
        <v>-51150.121065375308</v>
      </c>
      <c r="K42">
        <f t="shared" si="10"/>
        <v>-51.150121065375309</v>
      </c>
      <c r="M42">
        <f>K42-K46</f>
        <v>-756.65859564164657</v>
      </c>
    </row>
    <row r="43" spans="1:13">
      <c r="B43" t="s">
        <v>56</v>
      </c>
      <c r="C43">
        <v>0.23</v>
      </c>
      <c r="E43">
        <f t="shared" si="11"/>
        <v>597.66666666666674</v>
      </c>
      <c r="G43">
        <f t="shared" si="1"/>
        <v>10129.943502824861</v>
      </c>
      <c r="H43">
        <f t="shared" si="2"/>
        <v>10.129943502824862</v>
      </c>
      <c r="I43">
        <f t="shared" si="8"/>
        <v>180.89184826472967</v>
      </c>
      <c r="J43">
        <f t="shared" si="9"/>
        <v>180891.84826472966</v>
      </c>
      <c r="K43">
        <f t="shared" si="10"/>
        <v>180.89184826472967</v>
      </c>
      <c r="L43">
        <f>K43-K45</f>
        <v>141.24293785310738</v>
      </c>
    </row>
    <row r="44" spans="1:13">
      <c r="B44" t="s">
        <v>57</v>
      </c>
      <c r="C44">
        <v>0.28999999999999998</v>
      </c>
      <c r="E44">
        <f t="shared" si="11"/>
        <v>797.66666666666674</v>
      </c>
      <c r="G44">
        <f t="shared" si="1"/>
        <v>13519.774011299436</v>
      </c>
      <c r="H44">
        <f t="shared" si="2"/>
        <v>13.519774011299436</v>
      </c>
      <c r="I44">
        <f t="shared" si="8"/>
        <v>241.42453591606136</v>
      </c>
      <c r="J44">
        <f t="shared" si="9"/>
        <v>241424.53591606137</v>
      </c>
      <c r="K44">
        <f t="shared" si="10"/>
        <v>241.42453591606139</v>
      </c>
      <c r="M44">
        <f>K44-K46</f>
        <v>-464.08393866020992</v>
      </c>
    </row>
    <row r="45" spans="1:13">
      <c r="B45" t="s">
        <v>58</v>
      </c>
      <c r="C45">
        <v>0.09</v>
      </c>
      <c r="E45">
        <f t="shared" si="11"/>
        <v>131</v>
      </c>
      <c r="G45">
        <f t="shared" si="1"/>
        <v>2220.3389830508477</v>
      </c>
      <c r="H45">
        <f t="shared" si="2"/>
        <v>2.2203389830508478</v>
      </c>
      <c r="I45">
        <f t="shared" si="8"/>
        <v>39.648910411622282</v>
      </c>
      <c r="J45">
        <f t="shared" si="9"/>
        <v>39648.910411622281</v>
      </c>
      <c r="K45">
        <f t="shared" si="10"/>
        <v>39.648910411622282</v>
      </c>
    </row>
    <row r="46" spans="1:13">
      <c r="B46" t="s">
        <v>59</v>
      </c>
      <c r="C46">
        <v>0.75</v>
      </c>
      <c r="E46">
        <f t="shared" si="11"/>
        <v>2331.0000000000005</v>
      </c>
      <c r="G46">
        <f t="shared" si="1"/>
        <v>39508.47457627119</v>
      </c>
      <c r="H46">
        <f t="shared" si="2"/>
        <v>39.50847457627119</v>
      </c>
      <c r="I46">
        <f t="shared" si="8"/>
        <v>705.50847457627128</v>
      </c>
      <c r="J46">
        <f t="shared" si="9"/>
        <v>705508.47457627126</v>
      </c>
      <c r="K46">
        <f t="shared" si="10"/>
        <v>705.50847457627128</v>
      </c>
    </row>
    <row r="48" spans="1:13">
      <c r="A48" s="1">
        <v>40005</v>
      </c>
      <c r="B48" t="s">
        <v>60</v>
      </c>
      <c r="C48">
        <v>0.34</v>
      </c>
      <c r="E48">
        <f>(C48+0.0133)/0.0005</f>
        <v>706.6</v>
      </c>
      <c r="G48">
        <f t="shared" si="1"/>
        <v>11976.271186440679</v>
      </c>
      <c r="H48">
        <f t="shared" si="2"/>
        <v>11.976271186440679</v>
      </c>
      <c r="I48">
        <f t="shared" ref="I48:I53" si="12">H48/0.056</f>
        <v>213.86198547215497</v>
      </c>
      <c r="J48">
        <f t="shared" ref="J48:J53" si="13">I48*1000</f>
        <v>213861.98547215498</v>
      </c>
      <c r="K48">
        <f t="shared" ref="K48:K53" si="14">J48/1000</f>
        <v>213.86198547215497</v>
      </c>
      <c r="L48">
        <f>K48-K52</f>
        <v>127.11864406779662</v>
      </c>
    </row>
    <row r="49" spans="1:13">
      <c r="A49" t="s">
        <v>97</v>
      </c>
      <c r="B49" t="s">
        <v>61</v>
      </c>
      <c r="C49">
        <v>0.28000000000000003</v>
      </c>
      <c r="E49">
        <f t="shared" ref="E49:E53" si="15">(C49+0.0133)/0.0005</f>
        <v>586.6</v>
      </c>
      <c r="G49">
        <f t="shared" si="1"/>
        <v>9942.3728813559319</v>
      </c>
      <c r="H49">
        <f t="shared" si="2"/>
        <v>9.9423728813559311</v>
      </c>
      <c r="I49">
        <f t="shared" si="12"/>
        <v>177.5423728813559</v>
      </c>
      <c r="J49">
        <f t="shared" si="13"/>
        <v>177542.3728813559</v>
      </c>
      <c r="K49">
        <f t="shared" si="14"/>
        <v>177.5423728813559</v>
      </c>
      <c r="M49">
        <f>K49-K53</f>
        <v>-242.13075060532697</v>
      </c>
    </row>
    <row r="50" spans="1:13">
      <c r="B50" t="s">
        <v>62</v>
      </c>
      <c r="C50">
        <v>0.2</v>
      </c>
      <c r="E50">
        <f t="shared" si="15"/>
        <v>426.6</v>
      </c>
      <c r="G50">
        <f t="shared" si="1"/>
        <v>7230.5084745762715</v>
      </c>
      <c r="H50">
        <f t="shared" si="2"/>
        <v>7.2305084745762711</v>
      </c>
      <c r="I50">
        <f t="shared" si="12"/>
        <v>129.11622276029055</v>
      </c>
      <c r="J50">
        <f t="shared" si="13"/>
        <v>129116.22276029055</v>
      </c>
      <c r="K50">
        <f t="shared" si="14"/>
        <v>129.11622276029055</v>
      </c>
      <c r="L50">
        <f>K50-K52</f>
        <v>42.372881355932208</v>
      </c>
    </row>
    <row r="51" spans="1:13">
      <c r="B51" t="s">
        <v>63</v>
      </c>
      <c r="C51">
        <v>0.35</v>
      </c>
      <c r="E51">
        <f t="shared" si="15"/>
        <v>726.59999999999991</v>
      </c>
      <c r="G51">
        <f t="shared" si="1"/>
        <v>12315.254237288134</v>
      </c>
      <c r="H51">
        <f t="shared" si="2"/>
        <v>12.315254237288134</v>
      </c>
      <c r="I51">
        <f t="shared" si="12"/>
        <v>219.91525423728808</v>
      </c>
      <c r="J51">
        <f t="shared" si="13"/>
        <v>219915.25423728809</v>
      </c>
      <c r="K51">
        <f t="shared" si="14"/>
        <v>219.91525423728808</v>
      </c>
      <c r="M51">
        <f>K51-K53</f>
        <v>-199.75786924939479</v>
      </c>
    </row>
    <row r="52" spans="1:13">
      <c r="B52" t="s">
        <v>58</v>
      </c>
      <c r="C52">
        <v>0.13</v>
      </c>
      <c r="E52">
        <f t="shared" si="15"/>
        <v>286.60000000000002</v>
      </c>
      <c r="G52">
        <f t="shared" si="1"/>
        <v>4857.6271186440681</v>
      </c>
      <c r="H52">
        <f t="shared" si="2"/>
        <v>4.8576271186440678</v>
      </c>
      <c r="I52">
        <f t="shared" si="12"/>
        <v>86.743341404358347</v>
      </c>
      <c r="J52">
        <f t="shared" si="13"/>
        <v>86743.341404358347</v>
      </c>
      <c r="K52">
        <f t="shared" si="14"/>
        <v>86.743341404358347</v>
      </c>
    </row>
    <row r="53" spans="1:13">
      <c r="B53" t="s">
        <v>59</v>
      </c>
      <c r="C53">
        <v>0.68</v>
      </c>
      <c r="E53">
        <f t="shared" si="15"/>
        <v>1386.6000000000001</v>
      </c>
      <c r="G53">
        <f t="shared" si="1"/>
        <v>23501.69491525424</v>
      </c>
      <c r="H53">
        <f t="shared" si="2"/>
        <v>23.501694915254241</v>
      </c>
      <c r="I53">
        <f t="shared" si="12"/>
        <v>419.67312348668287</v>
      </c>
      <c r="J53">
        <f t="shared" si="13"/>
        <v>419673.12348668289</v>
      </c>
      <c r="K53">
        <f t="shared" si="14"/>
        <v>419.67312348668287</v>
      </c>
    </row>
    <row r="55" spans="1:13">
      <c r="A55" s="1">
        <v>40089</v>
      </c>
      <c r="B55" t="s">
        <v>64</v>
      </c>
      <c r="C55">
        <v>0.31</v>
      </c>
      <c r="E55">
        <f>(C55-0.0006)/0.0005</f>
        <v>618.79999999999995</v>
      </c>
      <c r="G55">
        <f t="shared" si="1"/>
        <v>10488.135593220337</v>
      </c>
      <c r="H55">
        <f t="shared" si="2"/>
        <v>10.488135593220337</v>
      </c>
      <c r="I55">
        <f t="shared" ref="I55:I118" si="16">H55/0.056</f>
        <v>187.28813559322029</v>
      </c>
      <c r="J55">
        <f t="shared" ref="J55:J118" si="17">I55*1000</f>
        <v>187288.1355932203</v>
      </c>
      <c r="K55">
        <f t="shared" ref="K55:K118" si="18">J55/1000</f>
        <v>187.28813559322029</v>
      </c>
      <c r="L55">
        <f>K55-K59</f>
        <v>266.34382566585953</v>
      </c>
    </row>
    <row r="56" spans="1:13">
      <c r="A56" t="s">
        <v>98</v>
      </c>
      <c r="B56" t="s">
        <v>65</v>
      </c>
      <c r="C56">
        <v>0.22</v>
      </c>
      <c r="E56">
        <f t="shared" ref="E56:E60" si="19">(C56-0.0006)/0.0005</f>
        <v>438.8</v>
      </c>
      <c r="G56">
        <f t="shared" si="1"/>
        <v>7437.2881355932204</v>
      </c>
      <c r="H56">
        <f t="shared" si="2"/>
        <v>7.4372881355932208</v>
      </c>
      <c r="I56">
        <f t="shared" si="16"/>
        <v>132.8087167070218</v>
      </c>
      <c r="J56">
        <f t="shared" si="17"/>
        <v>132808.71670702181</v>
      </c>
      <c r="K56">
        <f t="shared" si="18"/>
        <v>132.8087167070218</v>
      </c>
      <c r="M56">
        <f>K56-K60</f>
        <v>-205.81113801452784</v>
      </c>
    </row>
    <row r="57" spans="1:13">
      <c r="B57" t="s">
        <v>66</v>
      </c>
      <c r="C57">
        <v>0.13</v>
      </c>
      <c r="E57">
        <f t="shared" si="19"/>
        <v>258.8</v>
      </c>
      <c r="G57">
        <f t="shared" si="1"/>
        <v>4386.4406779661012</v>
      </c>
      <c r="H57">
        <f t="shared" si="2"/>
        <v>4.3864406779661014</v>
      </c>
      <c r="I57">
        <f t="shared" si="16"/>
        <v>78.329297820823243</v>
      </c>
      <c r="J57">
        <f t="shared" si="17"/>
        <v>78329.297820823238</v>
      </c>
      <c r="K57">
        <f t="shared" si="18"/>
        <v>78.329297820823243</v>
      </c>
      <c r="L57">
        <f>K57-K59</f>
        <v>157.38498789346244</v>
      </c>
    </row>
    <row r="58" spans="1:13">
      <c r="B58" t="s">
        <v>67</v>
      </c>
      <c r="C58">
        <v>0.19</v>
      </c>
      <c r="E58">
        <f t="shared" si="19"/>
        <v>378.8</v>
      </c>
      <c r="G58">
        <f t="shared" si="1"/>
        <v>6420.3389830508477</v>
      </c>
      <c r="H58">
        <f t="shared" si="2"/>
        <v>6.4203389830508479</v>
      </c>
      <c r="I58">
        <f t="shared" si="16"/>
        <v>114.64891041162228</v>
      </c>
      <c r="J58">
        <f t="shared" si="17"/>
        <v>114648.91041162229</v>
      </c>
      <c r="K58">
        <f t="shared" si="18"/>
        <v>114.64891041162228</v>
      </c>
      <c r="M58">
        <f>K58-K60</f>
        <v>-223.97094430992735</v>
      </c>
    </row>
    <row r="59" spans="1:13">
      <c r="B59" t="s">
        <v>58</v>
      </c>
      <c r="C59">
        <v>-0.13</v>
      </c>
      <c r="E59">
        <f t="shared" si="19"/>
        <v>-261.2</v>
      </c>
      <c r="G59">
        <f t="shared" si="1"/>
        <v>-4427.1186440677957</v>
      </c>
      <c r="H59">
        <f t="shared" si="2"/>
        <v>-4.4271186440677956</v>
      </c>
      <c r="I59">
        <f t="shared" si="16"/>
        <v>-79.055690072639209</v>
      </c>
      <c r="J59">
        <f t="shared" si="17"/>
        <v>-79055.690072639205</v>
      </c>
      <c r="K59">
        <f t="shared" si="18"/>
        <v>-79.055690072639209</v>
      </c>
    </row>
    <row r="60" spans="1:13">
      <c r="B60" t="s">
        <v>59</v>
      </c>
      <c r="C60">
        <v>0.56000000000000005</v>
      </c>
      <c r="E60">
        <f t="shared" si="19"/>
        <v>1118.8</v>
      </c>
      <c r="G60">
        <f t="shared" si="1"/>
        <v>18962.711864406781</v>
      </c>
      <c r="H60">
        <f t="shared" si="2"/>
        <v>18.962711864406781</v>
      </c>
      <c r="I60">
        <f t="shared" si="16"/>
        <v>338.61985472154964</v>
      </c>
      <c r="J60">
        <f t="shared" si="17"/>
        <v>338619.85472154967</v>
      </c>
      <c r="K60">
        <f t="shared" si="18"/>
        <v>338.61985472154964</v>
      </c>
    </row>
    <row r="61" spans="1:13">
      <c r="G61">
        <f t="shared" si="1"/>
        <v>0</v>
      </c>
      <c r="H61">
        <f t="shared" si="2"/>
        <v>0</v>
      </c>
      <c r="I61">
        <f t="shared" si="16"/>
        <v>0</v>
      </c>
      <c r="J61">
        <f t="shared" si="17"/>
        <v>0</v>
      </c>
      <c r="K61">
        <f t="shared" si="18"/>
        <v>0</v>
      </c>
    </row>
    <row r="62" spans="1:13">
      <c r="A62" s="1">
        <v>40247</v>
      </c>
      <c r="B62" t="s">
        <v>100</v>
      </c>
      <c r="C62">
        <v>0.81</v>
      </c>
      <c r="E62">
        <f>(C62-0.1277)/0.0007</f>
        <v>974.71428571428578</v>
      </c>
      <c r="G62">
        <f t="shared" si="1"/>
        <v>16520.581113801454</v>
      </c>
      <c r="H62">
        <f t="shared" si="2"/>
        <v>16.520581113801455</v>
      </c>
      <c r="I62">
        <f t="shared" si="16"/>
        <v>295.01037703216883</v>
      </c>
      <c r="J62">
        <f t="shared" si="17"/>
        <v>295010.37703216885</v>
      </c>
      <c r="K62">
        <f t="shared" si="18"/>
        <v>295.01037703216883</v>
      </c>
      <c r="L62">
        <f>K62-K66</f>
        <v>229.15946039432725</v>
      </c>
    </row>
    <row r="63" spans="1:13">
      <c r="A63" t="s">
        <v>99</v>
      </c>
      <c r="B63" t="s">
        <v>101</v>
      </c>
      <c r="C63">
        <v>0.88</v>
      </c>
      <c r="E63">
        <f t="shared" ref="E63:E67" si="20">(C63-0.1277)/0.0007</f>
        <v>1074.7142857142858</v>
      </c>
      <c r="G63">
        <f t="shared" si="1"/>
        <v>18215.496368038745</v>
      </c>
      <c r="H63">
        <f t="shared" si="2"/>
        <v>18.215496368038746</v>
      </c>
      <c r="I63">
        <f t="shared" si="16"/>
        <v>325.27672085783473</v>
      </c>
      <c r="J63">
        <f t="shared" si="17"/>
        <v>325276.72085783473</v>
      </c>
      <c r="K63">
        <f t="shared" si="18"/>
        <v>325.27672085783473</v>
      </c>
      <c r="M63">
        <f>K63-K67</f>
        <v>-90.799031476997527</v>
      </c>
    </row>
    <row r="64" spans="1:13">
      <c r="B64" t="s">
        <v>102</v>
      </c>
      <c r="C64">
        <v>1.33</v>
      </c>
      <c r="E64">
        <f t="shared" si="20"/>
        <v>1717.5714285714289</v>
      </c>
      <c r="G64">
        <f t="shared" si="1"/>
        <v>29111.380145278454</v>
      </c>
      <c r="H64">
        <f t="shared" si="2"/>
        <v>29.111380145278453</v>
      </c>
      <c r="I64">
        <f t="shared" si="16"/>
        <v>519.8460740228295</v>
      </c>
      <c r="J64">
        <f t="shared" si="17"/>
        <v>519846.07402282947</v>
      </c>
      <c r="K64">
        <f t="shared" si="18"/>
        <v>519.8460740228295</v>
      </c>
      <c r="L64">
        <f>K64-K66</f>
        <v>453.99515738498792</v>
      </c>
    </row>
    <row r="65" spans="1:13">
      <c r="B65" t="s">
        <v>103</v>
      </c>
      <c r="C65">
        <v>1.36</v>
      </c>
      <c r="E65">
        <f t="shared" si="20"/>
        <v>1760.4285714285718</v>
      </c>
      <c r="G65">
        <f t="shared" si="1"/>
        <v>29837.772397094435</v>
      </c>
      <c r="H65">
        <f t="shared" si="2"/>
        <v>29.837772397094437</v>
      </c>
      <c r="I65">
        <f t="shared" si="16"/>
        <v>532.81736423382927</v>
      </c>
      <c r="J65">
        <f t="shared" si="17"/>
        <v>532817.36423382931</v>
      </c>
      <c r="K65">
        <f t="shared" si="18"/>
        <v>532.81736423382927</v>
      </c>
      <c r="M65">
        <f>K65-K67</f>
        <v>116.74161189899701</v>
      </c>
    </row>
    <row r="66" spans="1:13">
      <c r="B66" t="s">
        <v>104</v>
      </c>
      <c r="C66">
        <v>0.28000000000000003</v>
      </c>
      <c r="E66">
        <f t="shared" si="20"/>
        <v>217.57142857142861</v>
      </c>
      <c r="G66">
        <f t="shared" si="1"/>
        <v>3687.6513317191288</v>
      </c>
      <c r="H66">
        <f t="shared" si="2"/>
        <v>3.6876513317191288</v>
      </c>
      <c r="I66">
        <f t="shared" si="16"/>
        <v>65.850916637841578</v>
      </c>
      <c r="J66">
        <f t="shared" si="17"/>
        <v>65850.916637841583</v>
      </c>
      <c r="K66">
        <f t="shared" si="18"/>
        <v>65.850916637841578</v>
      </c>
    </row>
    <row r="67" spans="1:13">
      <c r="B67" t="s">
        <v>105</v>
      </c>
      <c r="C67">
        <v>1.0900000000000001</v>
      </c>
      <c r="E67">
        <f t="shared" si="20"/>
        <v>1374.7142857142858</v>
      </c>
      <c r="G67">
        <f t="shared" si="1"/>
        <v>23300.242130750608</v>
      </c>
      <c r="H67">
        <f t="shared" si="2"/>
        <v>23.300242130750608</v>
      </c>
      <c r="I67">
        <f t="shared" si="16"/>
        <v>416.07575233483226</v>
      </c>
      <c r="J67">
        <f t="shared" si="17"/>
        <v>416075.75233483227</v>
      </c>
      <c r="K67">
        <f t="shared" si="18"/>
        <v>416.07575233483226</v>
      </c>
    </row>
    <row r="68" spans="1:13">
      <c r="G68">
        <f t="shared" si="1"/>
        <v>0</v>
      </c>
      <c r="H68">
        <f t="shared" si="2"/>
        <v>0</v>
      </c>
      <c r="I68">
        <f t="shared" si="16"/>
        <v>0</v>
      </c>
      <c r="J68">
        <f t="shared" si="17"/>
        <v>0</v>
      </c>
      <c r="K68">
        <f t="shared" si="18"/>
        <v>0</v>
      </c>
    </row>
    <row r="69" spans="1:13">
      <c r="A69" s="1">
        <v>40249</v>
      </c>
      <c r="B69" t="s">
        <v>107</v>
      </c>
      <c r="C69">
        <v>0.87</v>
      </c>
      <c r="E69">
        <f>(C69-0.1772)/0.0004</f>
        <v>1731.9999999999998</v>
      </c>
      <c r="G69">
        <f t="shared" si="1"/>
        <v>29355.932203389824</v>
      </c>
      <c r="H69">
        <f t="shared" si="2"/>
        <v>29.355932203389823</v>
      </c>
      <c r="I69">
        <f t="shared" si="16"/>
        <v>524.21307506053256</v>
      </c>
      <c r="J69">
        <f t="shared" si="17"/>
        <v>524213.07506053254</v>
      </c>
      <c r="K69">
        <f t="shared" si="18"/>
        <v>524.21307506053256</v>
      </c>
      <c r="L69">
        <f>K69-K73</f>
        <v>348.06295399515733</v>
      </c>
    </row>
    <row r="70" spans="1:13">
      <c r="A70" t="s">
        <v>106</v>
      </c>
      <c r="B70" t="s">
        <v>8</v>
      </c>
      <c r="C70">
        <v>0.89</v>
      </c>
      <c r="E70">
        <f t="shared" ref="E70:E74" si="21">(C70-0.1772)/0.0004</f>
        <v>1782</v>
      </c>
      <c r="G70">
        <f t="shared" si="1"/>
        <v>30203.389830508477</v>
      </c>
      <c r="H70">
        <f t="shared" si="2"/>
        <v>30.203389830508478</v>
      </c>
      <c r="I70">
        <f t="shared" si="16"/>
        <v>539.34624697336562</v>
      </c>
      <c r="J70">
        <f t="shared" si="17"/>
        <v>539346.24697336566</v>
      </c>
      <c r="K70">
        <f t="shared" si="18"/>
        <v>539.34624697336562</v>
      </c>
      <c r="M70">
        <f>K70-K74</f>
        <v>-158.89830508474574</v>
      </c>
    </row>
    <row r="71" spans="1:13">
      <c r="B71" t="s">
        <v>6</v>
      </c>
      <c r="C71">
        <v>1.6</v>
      </c>
      <c r="E71">
        <f t="shared" si="21"/>
        <v>3557</v>
      </c>
      <c r="G71">
        <f t="shared" si="1"/>
        <v>60288.135593220337</v>
      </c>
      <c r="H71">
        <f t="shared" si="2"/>
        <v>60.288135593220339</v>
      </c>
      <c r="I71">
        <f t="shared" si="16"/>
        <v>1076.5738498789347</v>
      </c>
      <c r="J71">
        <f t="shared" si="17"/>
        <v>1076573.8498789347</v>
      </c>
      <c r="K71">
        <f t="shared" si="18"/>
        <v>1076.5738498789347</v>
      </c>
      <c r="L71">
        <f>K71-K73</f>
        <v>900.42372881355936</v>
      </c>
    </row>
    <row r="72" spans="1:13">
      <c r="B72" t="s">
        <v>7</v>
      </c>
      <c r="C72">
        <v>1.7</v>
      </c>
      <c r="E72">
        <f t="shared" si="21"/>
        <v>3806.9999999999995</v>
      </c>
      <c r="G72">
        <f t="shared" si="1"/>
        <v>64525.423728813555</v>
      </c>
      <c r="H72">
        <f t="shared" si="2"/>
        <v>64.52542372881355</v>
      </c>
      <c r="I72">
        <f t="shared" si="16"/>
        <v>1152.2397094430992</v>
      </c>
      <c r="J72">
        <f t="shared" si="17"/>
        <v>1152239.7094430991</v>
      </c>
      <c r="K72">
        <f t="shared" si="18"/>
        <v>1152.2397094430992</v>
      </c>
      <c r="M72">
        <f>K72-K74</f>
        <v>453.99515738498781</v>
      </c>
    </row>
    <row r="73" spans="1:13">
      <c r="B73" t="s">
        <v>104</v>
      </c>
      <c r="C73">
        <v>0.41</v>
      </c>
      <c r="E73">
        <f t="shared" si="21"/>
        <v>581.99999999999989</v>
      </c>
      <c r="G73">
        <f t="shared" si="1"/>
        <v>9864.4067796610143</v>
      </c>
      <c r="H73">
        <f t="shared" si="2"/>
        <v>9.8644067796610138</v>
      </c>
      <c r="I73">
        <f t="shared" si="16"/>
        <v>176.15012106537523</v>
      </c>
      <c r="J73">
        <f t="shared" si="17"/>
        <v>176150.12106537522</v>
      </c>
      <c r="K73">
        <f t="shared" si="18"/>
        <v>176.15012106537523</v>
      </c>
    </row>
    <row r="74" spans="1:13">
      <c r="B74" t="s">
        <v>9</v>
      </c>
      <c r="C74">
        <v>1.1000000000000001</v>
      </c>
      <c r="E74">
        <f t="shared" si="21"/>
        <v>2307</v>
      </c>
      <c r="G74">
        <f t="shared" si="1"/>
        <v>39101.694915254237</v>
      </c>
      <c r="H74">
        <f t="shared" si="2"/>
        <v>39.101694915254235</v>
      </c>
      <c r="I74">
        <f t="shared" si="16"/>
        <v>698.24455205811137</v>
      </c>
      <c r="J74">
        <f t="shared" si="17"/>
        <v>698244.55205811141</v>
      </c>
      <c r="K74">
        <f t="shared" si="18"/>
        <v>698.24455205811137</v>
      </c>
    </row>
    <row r="75" spans="1:13">
      <c r="G75">
        <f t="shared" si="1"/>
        <v>0</v>
      </c>
      <c r="H75">
        <f t="shared" si="2"/>
        <v>0</v>
      </c>
      <c r="I75">
        <f t="shared" si="16"/>
        <v>0</v>
      </c>
      <c r="J75">
        <f t="shared" si="17"/>
        <v>0</v>
      </c>
      <c r="K75">
        <f t="shared" si="18"/>
        <v>0</v>
      </c>
    </row>
    <row r="76" spans="1:13">
      <c r="A76" s="1">
        <v>40249</v>
      </c>
      <c r="B76" t="s">
        <v>11</v>
      </c>
      <c r="C76">
        <v>0.96</v>
      </c>
      <c r="E76">
        <f>(C76-0.1648)/0.0007</f>
        <v>1135.9999999999998</v>
      </c>
      <c r="G76">
        <f t="shared" si="1"/>
        <v>19254.237288135588</v>
      </c>
      <c r="H76">
        <f t="shared" si="2"/>
        <v>19.254237288135588</v>
      </c>
      <c r="I76">
        <f t="shared" si="16"/>
        <v>343.82566585956408</v>
      </c>
      <c r="J76">
        <f t="shared" si="17"/>
        <v>343825.66585956409</v>
      </c>
      <c r="K76">
        <f t="shared" si="18"/>
        <v>343.82566585956408</v>
      </c>
      <c r="L76">
        <f>K76-K80</f>
        <v>250.77827741265989</v>
      </c>
    </row>
    <row r="77" spans="1:13">
      <c r="A77" t="s">
        <v>10</v>
      </c>
      <c r="B77" t="s">
        <v>12</v>
      </c>
      <c r="C77">
        <v>1.2</v>
      </c>
      <c r="E77">
        <f t="shared" ref="E77:E81" si="22">(C77-0.1648)/0.0007</f>
        <v>1478.8571428571427</v>
      </c>
      <c r="G77">
        <f t="shared" si="1"/>
        <v>25065.375302663433</v>
      </c>
      <c r="H77">
        <f t="shared" si="2"/>
        <v>25.065375302663433</v>
      </c>
      <c r="I77">
        <f t="shared" si="16"/>
        <v>447.59598754756132</v>
      </c>
      <c r="J77">
        <f t="shared" si="17"/>
        <v>447595.98754756129</v>
      </c>
      <c r="K77">
        <f t="shared" si="18"/>
        <v>447.59598754756132</v>
      </c>
      <c r="M77">
        <f>K77-K81</f>
        <v>108.09408509166383</v>
      </c>
    </row>
    <row r="78" spans="1:13">
      <c r="B78" t="s">
        <v>13</v>
      </c>
      <c r="C78">
        <v>1.2</v>
      </c>
      <c r="E78">
        <f t="shared" si="22"/>
        <v>1478.8571428571427</v>
      </c>
      <c r="G78">
        <f t="shared" si="1"/>
        <v>25065.375302663433</v>
      </c>
      <c r="H78">
        <f t="shared" si="2"/>
        <v>25.065375302663433</v>
      </c>
      <c r="I78">
        <f t="shared" si="16"/>
        <v>447.59598754756132</v>
      </c>
      <c r="J78">
        <f t="shared" si="17"/>
        <v>447595.98754756129</v>
      </c>
      <c r="K78">
        <f t="shared" si="18"/>
        <v>447.59598754756132</v>
      </c>
      <c r="L78">
        <f>K78-K80</f>
        <v>354.54859910065716</v>
      </c>
    </row>
    <row r="79" spans="1:13">
      <c r="B79" t="s">
        <v>14</v>
      </c>
      <c r="C79">
        <v>1</v>
      </c>
      <c r="E79">
        <f t="shared" si="22"/>
        <v>1193.1428571428571</v>
      </c>
      <c r="G79">
        <f t="shared" si="1"/>
        <v>20222.7602905569</v>
      </c>
      <c r="H79">
        <f t="shared" si="2"/>
        <v>20.222760290556899</v>
      </c>
      <c r="I79">
        <f t="shared" si="16"/>
        <v>361.12071947423033</v>
      </c>
      <c r="J79">
        <f t="shared" si="17"/>
        <v>361120.71947423031</v>
      </c>
      <c r="K79">
        <f t="shared" si="18"/>
        <v>361.12071947423033</v>
      </c>
      <c r="M79">
        <f>K79-K81</f>
        <v>21.618817018332834</v>
      </c>
    </row>
    <row r="80" spans="1:13">
      <c r="B80" t="s">
        <v>15</v>
      </c>
      <c r="C80">
        <v>0.38</v>
      </c>
      <c r="E80">
        <f t="shared" si="22"/>
        <v>307.42857142857144</v>
      </c>
      <c r="G80">
        <f t="shared" si="1"/>
        <v>5210.6537530266341</v>
      </c>
      <c r="H80">
        <f t="shared" si="2"/>
        <v>5.2106537530266346</v>
      </c>
      <c r="I80">
        <f t="shared" si="16"/>
        <v>93.047388446904193</v>
      </c>
      <c r="J80">
        <f t="shared" si="17"/>
        <v>93047.388446904195</v>
      </c>
      <c r="K80">
        <f t="shared" si="18"/>
        <v>93.047388446904193</v>
      </c>
    </row>
    <row r="81" spans="1:13">
      <c r="B81" t="s">
        <v>9</v>
      </c>
      <c r="C81">
        <v>0.95</v>
      </c>
      <c r="E81">
        <f t="shared" si="22"/>
        <v>1121.7142857142856</v>
      </c>
      <c r="G81">
        <f t="shared" si="1"/>
        <v>19012.106537530261</v>
      </c>
      <c r="H81">
        <f t="shared" si="2"/>
        <v>19.012106537530261</v>
      </c>
      <c r="I81">
        <f t="shared" si="16"/>
        <v>339.50190245589749</v>
      </c>
      <c r="J81">
        <f t="shared" si="17"/>
        <v>339501.90245589748</v>
      </c>
      <c r="K81">
        <f t="shared" si="18"/>
        <v>339.50190245589749</v>
      </c>
    </row>
    <row r="82" spans="1:13">
      <c r="G82">
        <f t="shared" si="1"/>
        <v>0</v>
      </c>
      <c r="H82">
        <f t="shared" si="2"/>
        <v>0</v>
      </c>
      <c r="I82">
        <f t="shared" si="16"/>
        <v>0</v>
      </c>
      <c r="J82">
        <f t="shared" si="17"/>
        <v>0</v>
      </c>
      <c r="K82">
        <f t="shared" si="18"/>
        <v>0</v>
      </c>
    </row>
    <row r="83" spans="1:13">
      <c r="A83" s="1">
        <v>40260</v>
      </c>
      <c r="B83" t="s">
        <v>17</v>
      </c>
      <c r="C83">
        <v>0.04</v>
      </c>
      <c r="E83">
        <f>(C83-0.1512)/0.0006</f>
        <v>-185.33333333333334</v>
      </c>
      <c r="G83">
        <f t="shared" si="1"/>
        <v>-3141.2429378531078</v>
      </c>
      <c r="H83">
        <f t="shared" si="2"/>
        <v>-3.1412429378531077</v>
      </c>
      <c r="I83">
        <f t="shared" si="16"/>
        <v>-56.093623890234063</v>
      </c>
      <c r="J83">
        <f t="shared" si="17"/>
        <v>-56093.623890234063</v>
      </c>
      <c r="K83">
        <f t="shared" si="18"/>
        <v>-56.093623890234063</v>
      </c>
      <c r="L83">
        <f>K83-K85</f>
        <v>171.50928167877319</v>
      </c>
    </row>
    <row r="84" spans="1:13">
      <c r="A84" t="s">
        <v>16</v>
      </c>
      <c r="B84" t="s">
        <v>18</v>
      </c>
      <c r="C84">
        <v>0.04</v>
      </c>
      <c r="E84">
        <f t="shared" ref="E84:E86" si="23">(C84-0.1512)/0.0006</f>
        <v>-185.33333333333334</v>
      </c>
      <c r="G84">
        <f t="shared" si="1"/>
        <v>-3141.2429378531078</v>
      </c>
      <c r="H84">
        <f t="shared" si="2"/>
        <v>-3.1412429378531077</v>
      </c>
      <c r="I84">
        <f t="shared" si="16"/>
        <v>-56.093623890234063</v>
      </c>
      <c r="J84">
        <f t="shared" si="17"/>
        <v>-56093.623890234063</v>
      </c>
      <c r="K84">
        <f t="shared" si="18"/>
        <v>-56.093623890234063</v>
      </c>
      <c r="M84">
        <f>K84-K86</f>
        <v>-30.266343825665867</v>
      </c>
    </row>
    <row r="85" spans="1:13">
      <c r="B85" t="s">
        <v>15</v>
      </c>
      <c r="C85">
        <v>-0.3</v>
      </c>
      <c r="E85">
        <f t="shared" si="23"/>
        <v>-752</v>
      </c>
      <c r="G85">
        <f t="shared" si="1"/>
        <v>-12745.762711864407</v>
      </c>
      <c r="H85">
        <f t="shared" si="2"/>
        <v>-12.745762711864407</v>
      </c>
      <c r="I85">
        <f t="shared" si="16"/>
        <v>-227.60290556900725</v>
      </c>
      <c r="J85">
        <f t="shared" si="17"/>
        <v>-227602.90556900724</v>
      </c>
      <c r="K85">
        <f t="shared" si="18"/>
        <v>-227.60290556900725</v>
      </c>
    </row>
    <row r="86" spans="1:13">
      <c r="B86" t="s">
        <v>19</v>
      </c>
      <c r="C86">
        <v>0.1</v>
      </c>
      <c r="E86">
        <f t="shared" si="23"/>
        <v>-85.333333333333329</v>
      </c>
      <c r="G86">
        <f t="shared" si="1"/>
        <v>-1446.3276836158191</v>
      </c>
      <c r="H86">
        <f t="shared" si="2"/>
        <v>-1.446327683615819</v>
      </c>
      <c r="I86">
        <f t="shared" si="16"/>
        <v>-25.827280064568196</v>
      </c>
      <c r="J86">
        <f t="shared" si="17"/>
        <v>-25827.280064568196</v>
      </c>
      <c r="K86">
        <f t="shared" si="18"/>
        <v>-25.827280064568196</v>
      </c>
    </row>
    <row r="87" spans="1:13">
      <c r="G87">
        <f t="shared" si="1"/>
        <v>0</v>
      </c>
      <c r="H87">
        <f t="shared" ref="H87:H147" si="24">G87/1000</f>
        <v>0</v>
      </c>
      <c r="I87">
        <f t="shared" si="16"/>
        <v>0</v>
      </c>
      <c r="J87">
        <f t="shared" si="17"/>
        <v>0</v>
      </c>
      <c r="K87">
        <f t="shared" si="18"/>
        <v>0</v>
      </c>
    </row>
    <row r="88" spans="1:13">
      <c r="B88" t="s">
        <v>20</v>
      </c>
      <c r="C88">
        <v>1.5</v>
      </c>
      <c r="E88">
        <f>(C88-0.1856)/0.0007</f>
        <v>1877.7142857142858</v>
      </c>
      <c r="G88">
        <f t="shared" ref="G88:G147" si="25">(E88/(5.9*10^13))*(1*10^15)</f>
        <v>31825.665859564164</v>
      </c>
      <c r="H88">
        <f t="shared" si="24"/>
        <v>31.825665859564165</v>
      </c>
      <c r="I88">
        <f t="shared" si="16"/>
        <v>568.31546177793155</v>
      </c>
      <c r="J88">
        <f t="shared" si="17"/>
        <v>568315.46177793154</v>
      </c>
      <c r="K88">
        <f t="shared" si="18"/>
        <v>568.31546177793155</v>
      </c>
      <c r="L88">
        <f>K88-K90</f>
        <v>497.23279142165347</v>
      </c>
    </row>
    <row r="89" spans="1:13">
      <c r="B89" t="s">
        <v>21</v>
      </c>
      <c r="C89">
        <v>1.5</v>
      </c>
      <c r="E89">
        <f t="shared" ref="E89:E91" si="26">(C89-0.1856)/0.0007</f>
        <v>1877.7142857142858</v>
      </c>
      <c r="G89">
        <f t="shared" si="25"/>
        <v>31825.665859564164</v>
      </c>
      <c r="H89">
        <f t="shared" si="24"/>
        <v>31.825665859564165</v>
      </c>
      <c r="I89">
        <f t="shared" si="16"/>
        <v>568.31546177793155</v>
      </c>
      <c r="J89">
        <f t="shared" si="17"/>
        <v>568315.46177793154</v>
      </c>
      <c r="K89">
        <f t="shared" si="18"/>
        <v>568.31546177793155</v>
      </c>
      <c r="M89">
        <f>K89-K91</f>
        <v>198.89311656866141</v>
      </c>
    </row>
    <row r="90" spans="1:13">
      <c r="B90" t="s">
        <v>104</v>
      </c>
      <c r="C90">
        <v>0.35</v>
      </c>
      <c r="E90">
        <f t="shared" si="26"/>
        <v>234.85714285714283</v>
      </c>
      <c r="G90">
        <f t="shared" si="25"/>
        <v>3980.6295399515734</v>
      </c>
      <c r="H90">
        <f t="shared" si="24"/>
        <v>3.9806295399515732</v>
      </c>
      <c r="I90">
        <f t="shared" si="16"/>
        <v>71.082670356278086</v>
      </c>
      <c r="J90">
        <f t="shared" si="17"/>
        <v>71082.670356278089</v>
      </c>
      <c r="K90">
        <f t="shared" si="18"/>
        <v>71.082670356278086</v>
      </c>
    </row>
    <row r="91" spans="1:13">
      <c r="B91" t="s">
        <v>9</v>
      </c>
      <c r="C91">
        <v>1.04</v>
      </c>
      <c r="E91">
        <f t="shared" si="26"/>
        <v>1220.5714285714287</v>
      </c>
      <c r="G91">
        <f t="shared" si="25"/>
        <v>20687.651331719127</v>
      </c>
      <c r="H91">
        <f t="shared" si="24"/>
        <v>20.687651331719128</v>
      </c>
      <c r="I91">
        <f t="shared" si="16"/>
        <v>369.42234520927013</v>
      </c>
      <c r="J91">
        <f t="shared" si="17"/>
        <v>369422.34520927013</v>
      </c>
      <c r="K91">
        <f t="shared" si="18"/>
        <v>369.42234520927013</v>
      </c>
    </row>
    <row r="92" spans="1:13">
      <c r="G92">
        <f t="shared" si="25"/>
        <v>0</v>
      </c>
      <c r="H92">
        <f t="shared" si="24"/>
        <v>0</v>
      </c>
      <c r="I92">
        <f t="shared" si="16"/>
        <v>0</v>
      </c>
      <c r="J92">
        <f t="shared" si="17"/>
        <v>0</v>
      </c>
      <c r="K92">
        <f t="shared" si="18"/>
        <v>0</v>
      </c>
    </row>
    <row r="93" spans="1:13">
      <c r="B93" t="s">
        <v>25</v>
      </c>
      <c r="G93">
        <f t="shared" si="25"/>
        <v>0</v>
      </c>
      <c r="H93">
        <f t="shared" si="24"/>
        <v>0</v>
      </c>
      <c r="I93">
        <f t="shared" si="16"/>
        <v>0</v>
      </c>
      <c r="J93">
        <f t="shared" si="17"/>
        <v>0</v>
      </c>
      <c r="K93">
        <f t="shared" si="18"/>
        <v>0</v>
      </c>
    </row>
    <row r="94" spans="1:13">
      <c r="A94" s="1">
        <v>40261</v>
      </c>
      <c r="B94" t="s">
        <v>24</v>
      </c>
      <c r="C94">
        <v>0.51</v>
      </c>
      <c r="E94">
        <f>(C94-0.1617)/0.0004</f>
        <v>870.75</v>
      </c>
      <c r="G94">
        <f t="shared" si="25"/>
        <v>14758.474576271188</v>
      </c>
      <c r="H94">
        <f t="shared" si="24"/>
        <v>14.758474576271189</v>
      </c>
      <c r="I94">
        <f t="shared" si="16"/>
        <v>263.5441888619855</v>
      </c>
      <c r="J94">
        <f t="shared" si="17"/>
        <v>263544.18886198552</v>
      </c>
      <c r="K94">
        <f t="shared" si="18"/>
        <v>263.5441888619855</v>
      </c>
      <c r="L94">
        <f>K94-K96</f>
        <v>174.03147699757875</v>
      </c>
    </row>
    <row r="95" spans="1:13">
      <c r="A95" t="s">
        <v>22</v>
      </c>
      <c r="B95" t="s">
        <v>23</v>
      </c>
      <c r="C95">
        <v>0.88</v>
      </c>
      <c r="E95">
        <f t="shared" ref="E95:E108" si="27">(C95-0.1617)/0.0004</f>
        <v>1795.7499999999998</v>
      </c>
      <c r="G95">
        <f t="shared" si="25"/>
        <v>30436.440677966097</v>
      </c>
      <c r="H95">
        <f t="shared" si="24"/>
        <v>30.436440677966097</v>
      </c>
      <c r="I95">
        <f t="shared" si="16"/>
        <v>543.50786924939462</v>
      </c>
      <c r="J95">
        <f t="shared" si="17"/>
        <v>543507.86924939463</v>
      </c>
      <c r="K95">
        <f t="shared" si="18"/>
        <v>543.50786924939462</v>
      </c>
      <c r="M95">
        <f>K95-K97</f>
        <v>-90.799031476997584</v>
      </c>
    </row>
    <row r="96" spans="1:13">
      <c r="B96" t="s">
        <v>104</v>
      </c>
      <c r="C96">
        <v>0.28000000000000003</v>
      </c>
      <c r="E96">
        <f t="shared" si="27"/>
        <v>295.75</v>
      </c>
      <c r="G96">
        <f t="shared" si="25"/>
        <v>5012.7118644067796</v>
      </c>
      <c r="H96">
        <f t="shared" si="24"/>
        <v>5.0127118644067794</v>
      </c>
      <c r="I96">
        <f t="shared" si="16"/>
        <v>89.512711864406768</v>
      </c>
      <c r="J96">
        <f t="shared" si="17"/>
        <v>89512.711864406767</v>
      </c>
      <c r="K96">
        <f t="shared" si="18"/>
        <v>89.512711864406768</v>
      </c>
    </row>
    <row r="97" spans="1:13">
      <c r="B97" t="s">
        <v>9</v>
      </c>
      <c r="C97">
        <v>1</v>
      </c>
      <c r="E97">
        <f t="shared" si="27"/>
        <v>2095.75</v>
      </c>
      <c r="G97">
        <f t="shared" si="25"/>
        <v>35521.186440677964</v>
      </c>
      <c r="H97">
        <f t="shared" si="24"/>
        <v>35.521186440677965</v>
      </c>
      <c r="I97">
        <f t="shared" si="16"/>
        <v>634.3069007263922</v>
      </c>
      <c r="J97">
        <f t="shared" si="17"/>
        <v>634306.90072639217</v>
      </c>
      <c r="K97">
        <f t="shared" si="18"/>
        <v>634.3069007263922</v>
      </c>
    </row>
    <row r="99" spans="1:13">
      <c r="B99" t="s">
        <v>26</v>
      </c>
      <c r="C99">
        <v>0.31</v>
      </c>
      <c r="E99">
        <f t="shared" si="27"/>
        <v>370.74999999999994</v>
      </c>
      <c r="G99">
        <f t="shared" si="25"/>
        <v>6283.8983050847455</v>
      </c>
      <c r="H99">
        <f t="shared" si="24"/>
        <v>6.2838983050847457</v>
      </c>
      <c r="I99">
        <f t="shared" si="16"/>
        <v>112.21246973365616</v>
      </c>
      <c r="J99">
        <f t="shared" si="17"/>
        <v>112212.46973365617</v>
      </c>
      <c r="K99">
        <f t="shared" si="18"/>
        <v>112.21246973365616</v>
      </c>
      <c r="L99">
        <f>K99-K101</f>
        <v>30.266343825665857</v>
      </c>
    </row>
    <row r="100" spans="1:13">
      <c r="B100" t="s">
        <v>27</v>
      </c>
      <c r="C100">
        <v>1.02</v>
      </c>
      <c r="E100">
        <f t="shared" si="27"/>
        <v>2145.75</v>
      </c>
      <c r="G100">
        <f t="shared" si="25"/>
        <v>36368.644067796609</v>
      </c>
      <c r="H100">
        <f t="shared" si="24"/>
        <v>36.368644067796609</v>
      </c>
      <c r="I100">
        <f t="shared" si="16"/>
        <v>649.44007263922515</v>
      </c>
      <c r="J100">
        <f t="shared" si="17"/>
        <v>649440.07263922517</v>
      </c>
      <c r="K100">
        <f t="shared" si="18"/>
        <v>649.44007263922515</v>
      </c>
      <c r="M100">
        <f>K100-K102</f>
        <v>-7.5665859564164748</v>
      </c>
    </row>
    <row r="101" spans="1:13">
      <c r="B101" t="s">
        <v>104</v>
      </c>
      <c r="C101">
        <v>0.27</v>
      </c>
      <c r="E101">
        <f t="shared" si="27"/>
        <v>270.75</v>
      </c>
      <c r="G101">
        <f t="shared" si="25"/>
        <v>4588.9830508474579</v>
      </c>
      <c r="H101">
        <f t="shared" si="24"/>
        <v>4.5889830508474576</v>
      </c>
      <c r="I101">
        <f t="shared" si="16"/>
        <v>81.946125907990307</v>
      </c>
      <c r="J101">
        <f t="shared" si="17"/>
        <v>81946.12590799031</v>
      </c>
      <c r="K101">
        <f t="shared" si="18"/>
        <v>81.946125907990307</v>
      </c>
    </row>
    <row r="102" spans="1:13">
      <c r="B102" t="s">
        <v>28</v>
      </c>
      <c r="C102">
        <v>1.03</v>
      </c>
      <c r="E102">
        <f t="shared" si="27"/>
        <v>2170.75</v>
      </c>
      <c r="G102">
        <f t="shared" si="25"/>
        <v>36792.372881355928</v>
      </c>
      <c r="H102">
        <f t="shared" si="24"/>
        <v>36.792372881355931</v>
      </c>
      <c r="I102">
        <f t="shared" si="16"/>
        <v>657.00665859564162</v>
      </c>
      <c r="J102">
        <f t="shared" si="17"/>
        <v>657006.65859564161</v>
      </c>
      <c r="K102">
        <f t="shared" si="18"/>
        <v>657.00665859564162</v>
      </c>
    </row>
    <row r="104" spans="1:13">
      <c r="B104" t="s">
        <v>29</v>
      </c>
    </row>
    <row r="105" spans="1:13">
      <c r="B105" t="s">
        <v>30</v>
      </c>
      <c r="C105">
        <v>0.99</v>
      </c>
      <c r="E105">
        <f t="shared" si="27"/>
        <v>2070.75</v>
      </c>
      <c r="G105">
        <f t="shared" si="25"/>
        <v>35097.457627118645</v>
      </c>
      <c r="H105">
        <f t="shared" si="24"/>
        <v>35.097457627118644</v>
      </c>
      <c r="I105">
        <f t="shared" si="16"/>
        <v>626.74031476997573</v>
      </c>
      <c r="J105">
        <f t="shared" si="17"/>
        <v>626740.31476997572</v>
      </c>
      <c r="K105">
        <f t="shared" si="18"/>
        <v>626.74031476997573</v>
      </c>
      <c r="L105">
        <f>K105-K107</f>
        <v>605.32687651331719</v>
      </c>
    </row>
    <row r="106" spans="1:13">
      <c r="B106" t="s">
        <v>31</v>
      </c>
      <c r="C106">
        <v>0.83</v>
      </c>
      <c r="E106">
        <f t="shared" si="27"/>
        <v>1670.7499999999995</v>
      </c>
      <c r="G106">
        <f t="shared" si="25"/>
        <v>28317.796610169484</v>
      </c>
      <c r="H106">
        <f t="shared" si="24"/>
        <v>28.317796610169484</v>
      </c>
      <c r="I106">
        <f t="shared" si="16"/>
        <v>505.67493946731219</v>
      </c>
      <c r="J106">
        <f t="shared" si="17"/>
        <v>505674.93946731219</v>
      </c>
      <c r="K106">
        <f t="shared" si="18"/>
        <v>505.67493946731219</v>
      </c>
      <c r="M106">
        <f>K106-K108</f>
        <v>-128.63196125908001</v>
      </c>
    </row>
    <row r="107" spans="1:13">
      <c r="B107" t="s">
        <v>104</v>
      </c>
      <c r="C107">
        <v>0.19</v>
      </c>
      <c r="E107">
        <f t="shared" si="27"/>
        <v>70.749999999999972</v>
      </c>
      <c r="G107">
        <f t="shared" si="25"/>
        <v>1199.1525423728808</v>
      </c>
      <c r="H107">
        <f t="shared" si="24"/>
        <v>1.1991525423728808</v>
      </c>
      <c r="I107">
        <f t="shared" si="16"/>
        <v>21.413438256658587</v>
      </c>
      <c r="J107">
        <f t="shared" si="17"/>
        <v>21413.438256658588</v>
      </c>
      <c r="K107">
        <f t="shared" si="18"/>
        <v>21.413438256658587</v>
      </c>
    </row>
    <row r="108" spans="1:13">
      <c r="B108" t="s">
        <v>32</v>
      </c>
      <c r="C108">
        <v>1</v>
      </c>
      <c r="E108">
        <f t="shared" si="27"/>
        <v>2095.75</v>
      </c>
      <c r="G108">
        <f t="shared" si="25"/>
        <v>35521.186440677964</v>
      </c>
      <c r="H108">
        <f t="shared" si="24"/>
        <v>35.521186440677965</v>
      </c>
      <c r="I108">
        <f t="shared" si="16"/>
        <v>634.3069007263922</v>
      </c>
      <c r="J108">
        <f t="shared" si="17"/>
        <v>634306.90072639217</v>
      </c>
      <c r="K108">
        <f t="shared" si="18"/>
        <v>634.3069007263922</v>
      </c>
    </row>
    <row r="109" spans="1:13">
      <c r="G109">
        <f t="shared" si="25"/>
        <v>0</v>
      </c>
      <c r="H109">
        <f t="shared" si="24"/>
        <v>0</v>
      </c>
      <c r="I109">
        <f t="shared" si="16"/>
        <v>0</v>
      </c>
      <c r="J109">
        <f t="shared" si="17"/>
        <v>0</v>
      </c>
      <c r="K109">
        <f t="shared" si="18"/>
        <v>0</v>
      </c>
    </row>
    <row r="110" spans="1:13">
      <c r="A110" s="1">
        <v>40262</v>
      </c>
      <c r="B110" t="s">
        <v>33</v>
      </c>
      <c r="G110">
        <f t="shared" si="25"/>
        <v>0</v>
      </c>
      <c r="H110">
        <f t="shared" si="24"/>
        <v>0</v>
      </c>
      <c r="I110">
        <f t="shared" si="16"/>
        <v>0</v>
      </c>
      <c r="J110">
        <f t="shared" si="17"/>
        <v>0</v>
      </c>
      <c r="K110">
        <f t="shared" si="18"/>
        <v>0</v>
      </c>
    </row>
    <row r="111" spans="1:13">
      <c r="A111" t="s">
        <v>34</v>
      </c>
      <c r="B111" t="s">
        <v>35</v>
      </c>
      <c r="C111">
        <v>0.69</v>
      </c>
      <c r="E111">
        <f>(C111-0.162)/0.0004</f>
        <v>1319.9999999999998</v>
      </c>
      <c r="G111">
        <f t="shared" si="25"/>
        <v>22372.881355932201</v>
      </c>
      <c r="H111">
        <f t="shared" si="24"/>
        <v>22.372881355932201</v>
      </c>
      <c r="I111">
        <f t="shared" si="16"/>
        <v>399.51573849878929</v>
      </c>
      <c r="J111">
        <f t="shared" si="17"/>
        <v>399515.73849878932</v>
      </c>
      <c r="K111">
        <f t="shared" si="18"/>
        <v>399.51573849878929</v>
      </c>
      <c r="L111">
        <f>K111-K113</f>
        <v>438.86198547215491</v>
      </c>
    </row>
    <row r="112" spans="1:13">
      <c r="B112" t="s">
        <v>36</v>
      </c>
      <c r="C112">
        <v>0.69</v>
      </c>
      <c r="E112">
        <f t="shared" ref="E112:E114" si="28">(C112-0.162)/0.0004</f>
        <v>1319.9999999999998</v>
      </c>
      <c r="G112">
        <f t="shared" si="25"/>
        <v>22372.881355932201</v>
      </c>
      <c r="H112">
        <f t="shared" si="24"/>
        <v>22.372881355932201</v>
      </c>
      <c r="I112">
        <f t="shared" si="16"/>
        <v>399.51573849878929</v>
      </c>
      <c r="J112">
        <f t="shared" si="17"/>
        <v>399515.73849878932</v>
      </c>
      <c r="K112">
        <f t="shared" si="18"/>
        <v>399.51573849878929</v>
      </c>
      <c r="M112">
        <f>K112-K114</f>
        <v>-189.16464891041147</v>
      </c>
    </row>
    <row r="113" spans="1:13">
      <c r="B113" t="s">
        <v>37</v>
      </c>
      <c r="C113">
        <v>0.11</v>
      </c>
      <c r="E113">
        <f t="shared" si="28"/>
        <v>-130</v>
      </c>
      <c r="G113">
        <f t="shared" si="25"/>
        <v>-2203.3898305084745</v>
      </c>
      <c r="H113">
        <f t="shared" si="24"/>
        <v>-2.2033898305084745</v>
      </c>
      <c r="I113">
        <f t="shared" si="16"/>
        <v>-39.346246973365616</v>
      </c>
      <c r="J113">
        <f t="shared" si="17"/>
        <v>-39346.246973365618</v>
      </c>
      <c r="K113">
        <f t="shared" si="18"/>
        <v>-39.346246973365616</v>
      </c>
    </row>
    <row r="114" spans="1:13">
      <c r="B114" t="s">
        <v>38</v>
      </c>
      <c r="C114">
        <v>0.94</v>
      </c>
      <c r="E114">
        <f t="shared" si="28"/>
        <v>1944.9999999999998</v>
      </c>
      <c r="G114">
        <f t="shared" si="25"/>
        <v>32966.101694915247</v>
      </c>
      <c r="H114">
        <f t="shared" si="24"/>
        <v>32.966101694915245</v>
      </c>
      <c r="I114">
        <f t="shared" si="16"/>
        <v>588.68038740920076</v>
      </c>
      <c r="J114">
        <f t="shared" si="17"/>
        <v>588680.38740920078</v>
      </c>
      <c r="K114">
        <f t="shared" si="18"/>
        <v>588.68038740920076</v>
      </c>
    </row>
    <row r="115" spans="1:13">
      <c r="G115">
        <f t="shared" si="25"/>
        <v>0</v>
      </c>
      <c r="H115">
        <f t="shared" si="24"/>
        <v>0</v>
      </c>
      <c r="I115">
        <f t="shared" si="16"/>
        <v>0</v>
      </c>
      <c r="J115">
        <f t="shared" si="17"/>
        <v>0</v>
      </c>
      <c r="K115">
        <f t="shared" si="18"/>
        <v>0</v>
      </c>
    </row>
    <row r="116" spans="1:13">
      <c r="B116" t="s">
        <v>39</v>
      </c>
      <c r="C116">
        <v>0.71</v>
      </c>
      <c r="E116">
        <f>(C116-0.1154)/0.0007</f>
        <v>849.42857142857144</v>
      </c>
      <c r="G116">
        <f t="shared" si="25"/>
        <v>14397.094430992736</v>
      </c>
      <c r="H116">
        <f t="shared" si="24"/>
        <v>14.397094430992736</v>
      </c>
      <c r="I116">
        <f t="shared" si="16"/>
        <v>257.09097198201312</v>
      </c>
      <c r="J116">
        <f t="shared" si="17"/>
        <v>257090.97198201311</v>
      </c>
      <c r="K116">
        <f t="shared" si="18"/>
        <v>257.09097198201312</v>
      </c>
      <c r="L116">
        <f>K116-K118</f>
        <v>263.74956762365963</v>
      </c>
    </row>
    <row r="117" spans="1:13">
      <c r="B117" t="s">
        <v>40</v>
      </c>
      <c r="C117">
        <v>1.1299999999999999</v>
      </c>
      <c r="E117">
        <f t="shared" ref="E117:E119" si="29">(C117-0.1154)/0.0007</f>
        <v>1449.4285714285713</v>
      </c>
      <c r="G117">
        <f t="shared" si="25"/>
        <v>24566.585956416464</v>
      </c>
      <c r="H117">
        <f t="shared" si="24"/>
        <v>24.566585956416464</v>
      </c>
      <c r="I117">
        <f t="shared" si="16"/>
        <v>438.68903493600828</v>
      </c>
      <c r="J117">
        <f t="shared" si="17"/>
        <v>438689.03493600828</v>
      </c>
      <c r="K117">
        <f t="shared" si="18"/>
        <v>438.68903493600828</v>
      </c>
      <c r="M117">
        <f>K117-K119</f>
        <v>56.208924247665152</v>
      </c>
    </row>
    <row r="118" spans="1:13">
      <c r="B118" t="s">
        <v>15</v>
      </c>
      <c r="C118">
        <v>0.1</v>
      </c>
      <c r="E118">
        <f t="shared" si="29"/>
        <v>-21.999999999999996</v>
      </c>
      <c r="G118">
        <f t="shared" si="25"/>
        <v>-372.88135593220329</v>
      </c>
      <c r="H118">
        <f t="shared" si="24"/>
        <v>-0.37288135593220328</v>
      </c>
      <c r="I118">
        <f t="shared" si="16"/>
        <v>-6.6585956416464871</v>
      </c>
      <c r="J118">
        <f t="shared" si="17"/>
        <v>-6658.5956416464869</v>
      </c>
      <c r="K118">
        <f t="shared" si="18"/>
        <v>-6.6585956416464871</v>
      </c>
    </row>
    <row r="119" spans="1:13">
      <c r="B119" t="s">
        <v>19</v>
      </c>
      <c r="C119">
        <v>1</v>
      </c>
      <c r="E119">
        <f t="shared" si="29"/>
        <v>1263.7142857142858</v>
      </c>
      <c r="G119">
        <f t="shared" si="25"/>
        <v>21418.886198547218</v>
      </c>
      <c r="H119">
        <f t="shared" si="24"/>
        <v>21.418886198547217</v>
      </c>
      <c r="I119">
        <f t="shared" ref="I119:I147" si="30">H119/0.056</f>
        <v>382.48011068834313</v>
      </c>
      <c r="J119">
        <f t="shared" ref="J119:J147" si="31">I119*1000</f>
        <v>382480.11068834312</v>
      </c>
      <c r="K119">
        <f t="shared" ref="K119:K147" si="32">J119/1000</f>
        <v>382.48011068834313</v>
      </c>
    </row>
    <row r="120" spans="1:13">
      <c r="G120">
        <f t="shared" si="25"/>
        <v>0</v>
      </c>
      <c r="H120">
        <f t="shared" si="24"/>
        <v>0</v>
      </c>
      <c r="I120">
        <f t="shared" si="30"/>
        <v>0</v>
      </c>
      <c r="J120">
        <f t="shared" si="31"/>
        <v>0</v>
      </c>
      <c r="K120">
        <f t="shared" si="32"/>
        <v>0</v>
      </c>
    </row>
    <row r="121" spans="1:13">
      <c r="A121" s="1">
        <v>40263</v>
      </c>
      <c r="B121" t="s">
        <v>42</v>
      </c>
      <c r="G121">
        <f t="shared" si="25"/>
        <v>0</v>
      </c>
      <c r="H121">
        <f t="shared" si="24"/>
        <v>0</v>
      </c>
      <c r="I121">
        <f t="shared" si="30"/>
        <v>0</v>
      </c>
      <c r="J121">
        <f t="shared" si="31"/>
        <v>0</v>
      </c>
      <c r="K121">
        <f t="shared" si="32"/>
        <v>0</v>
      </c>
    </row>
    <row r="122" spans="1:13">
      <c r="A122" t="s">
        <v>41</v>
      </c>
      <c r="B122" t="s">
        <v>43</v>
      </c>
      <c r="C122">
        <v>0.37</v>
      </c>
      <c r="E122">
        <f>(C122-0.1284)/0.0006</f>
        <v>402.66666666666674</v>
      </c>
      <c r="G122">
        <f t="shared" si="25"/>
        <v>6824.8587570621476</v>
      </c>
      <c r="H122">
        <f t="shared" si="24"/>
        <v>6.824858757062148</v>
      </c>
      <c r="I122">
        <f t="shared" si="30"/>
        <v>121.87247780468121</v>
      </c>
      <c r="J122">
        <f t="shared" si="31"/>
        <v>121872.47780468121</v>
      </c>
      <c r="K122">
        <f t="shared" si="32"/>
        <v>121.87247780468121</v>
      </c>
      <c r="L122">
        <f>K122-K124</f>
        <v>110.97659402744149</v>
      </c>
    </row>
    <row r="123" spans="1:13">
      <c r="B123" t="s">
        <v>44</v>
      </c>
      <c r="C123">
        <v>0.65</v>
      </c>
      <c r="E123">
        <f t="shared" ref="E123:E135" si="33">(C123-0.1284)/0.0006</f>
        <v>869.33333333333348</v>
      </c>
      <c r="G123">
        <f t="shared" si="25"/>
        <v>14734.463276836159</v>
      </c>
      <c r="H123">
        <f t="shared" si="24"/>
        <v>14.734463276836159</v>
      </c>
      <c r="I123">
        <f t="shared" si="30"/>
        <v>263.11541565778856</v>
      </c>
      <c r="J123">
        <f t="shared" si="31"/>
        <v>263115.41565778857</v>
      </c>
      <c r="K123">
        <f t="shared" si="32"/>
        <v>263.11541565778856</v>
      </c>
      <c r="M123">
        <f>K123-K125</f>
        <v>-126.10976594027449</v>
      </c>
    </row>
    <row r="124" spans="1:13">
      <c r="B124" t="s">
        <v>104</v>
      </c>
      <c r="C124">
        <v>0.15</v>
      </c>
      <c r="E124">
        <f t="shared" si="33"/>
        <v>36.000000000000014</v>
      </c>
      <c r="G124">
        <f t="shared" si="25"/>
        <v>610.16949152542395</v>
      </c>
      <c r="H124">
        <f t="shared" si="24"/>
        <v>0.61016949152542399</v>
      </c>
      <c r="I124">
        <f t="shared" si="30"/>
        <v>10.895883777239714</v>
      </c>
      <c r="J124">
        <f t="shared" si="31"/>
        <v>10895.883777239715</v>
      </c>
      <c r="K124">
        <f t="shared" si="32"/>
        <v>10.895883777239714</v>
      </c>
    </row>
    <row r="125" spans="1:13">
      <c r="B125" t="s">
        <v>9</v>
      </c>
      <c r="C125">
        <v>0.9</v>
      </c>
      <c r="E125">
        <f t="shared" si="33"/>
        <v>1286.0000000000002</v>
      </c>
      <c r="G125">
        <f t="shared" si="25"/>
        <v>21796.610169491531</v>
      </c>
      <c r="H125">
        <f t="shared" si="24"/>
        <v>21.79661016949153</v>
      </c>
      <c r="I125">
        <f t="shared" si="30"/>
        <v>389.22518159806305</v>
      </c>
      <c r="J125">
        <f t="shared" si="31"/>
        <v>389225.18159806303</v>
      </c>
      <c r="K125">
        <f t="shared" si="32"/>
        <v>389.22518159806305</v>
      </c>
    </row>
    <row r="126" spans="1:13">
      <c r="G126">
        <f t="shared" si="25"/>
        <v>0</v>
      </c>
      <c r="H126">
        <f t="shared" si="24"/>
        <v>0</v>
      </c>
      <c r="I126">
        <f t="shared" si="30"/>
        <v>0</v>
      </c>
      <c r="J126">
        <f t="shared" si="31"/>
        <v>0</v>
      </c>
      <c r="K126">
        <f t="shared" si="32"/>
        <v>0</v>
      </c>
    </row>
    <row r="127" spans="1:13">
      <c r="B127" t="s">
        <v>45</v>
      </c>
      <c r="C127">
        <v>0.62</v>
      </c>
      <c r="E127">
        <f>(C127-0.1594)/ 0.0007</f>
        <v>658</v>
      </c>
      <c r="G127">
        <f t="shared" si="25"/>
        <v>11152.542372881357</v>
      </c>
      <c r="H127">
        <f t="shared" si="24"/>
        <v>11.152542372881356</v>
      </c>
      <c r="I127">
        <f t="shared" si="30"/>
        <v>199.15254237288136</v>
      </c>
      <c r="J127">
        <f t="shared" si="31"/>
        <v>199152.54237288135</v>
      </c>
      <c r="K127">
        <f t="shared" si="32"/>
        <v>199.15254237288136</v>
      </c>
      <c r="L127">
        <f>K127-K129</f>
        <v>198.89311656866136</v>
      </c>
    </row>
    <row r="128" spans="1:13">
      <c r="B128" t="s">
        <v>46</v>
      </c>
      <c r="C128">
        <v>0.69</v>
      </c>
      <c r="E128">
        <f t="shared" ref="E128:E130" si="34">(C128-0.1594)/ 0.0007</f>
        <v>758</v>
      </c>
      <c r="G128">
        <f t="shared" si="25"/>
        <v>12847.457627118643</v>
      </c>
      <c r="H128">
        <f t="shared" si="24"/>
        <v>12.847457627118644</v>
      </c>
      <c r="I128">
        <f t="shared" si="30"/>
        <v>229.4188861985472</v>
      </c>
      <c r="J128">
        <f t="shared" si="31"/>
        <v>229418.8861985472</v>
      </c>
      <c r="K128">
        <f t="shared" si="32"/>
        <v>229.4188861985472</v>
      </c>
      <c r="M128">
        <f>K128-K130</f>
        <v>-73.503977862331425</v>
      </c>
    </row>
    <row r="129" spans="1:13">
      <c r="B129" t="s">
        <v>47</v>
      </c>
      <c r="C129">
        <v>0.16</v>
      </c>
      <c r="E129">
        <f t="shared" si="34"/>
        <v>0.85714285714288174</v>
      </c>
      <c r="G129">
        <f t="shared" si="25"/>
        <v>14.527845036320029</v>
      </c>
      <c r="H129">
        <f t="shared" si="24"/>
        <v>1.452784503632003E-2</v>
      </c>
      <c r="I129">
        <f t="shared" si="30"/>
        <v>0.2594258042200005</v>
      </c>
      <c r="J129">
        <f t="shared" si="31"/>
        <v>259.42580422000049</v>
      </c>
      <c r="K129">
        <f t="shared" si="32"/>
        <v>0.2594258042200005</v>
      </c>
    </row>
    <row r="130" spans="1:13">
      <c r="B130" t="s">
        <v>19</v>
      </c>
      <c r="C130">
        <v>0.86</v>
      </c>
      <c r="E130">
        <f t="shared" si="34"/>
        <v>1000.8571428571429</v>
      </c>
      <c r="G130">
        <f t="shared" si="25"/>
        <v>16963.6803874092</v>
      </c>
      <c r="H130">
        <f t="shared" si="24"/>
        <v>16.963680387409202</v>
      </c>
      <c r="I130">
        <f t="shared" si="30"/>
        <v>302.92286406087862</v>
      </c>
      <c r="J130">
        <f t="shared" si="31"/>
        <v>302922.86406087864</v>
      </c>
      <c r="K130">
        <f t="shared" si="32"/>
        <v>302.92286406087862</v>
      </c>
    </row>
    <row r="132" spans="1:13">
      <c r="A132" t="s">
        <v>113</v>
      </c>
      <c r="B132" t="s">
        <v>111</v>
      </c>
      <c r="C132">
        <v>0.53</v>
      </c>
      <c r="E132">
        <f t="shared" si="33"/>
        <v>669.33333333333348</v>
      </c>
      <c r="G132">
        <f t="shared" si="25"/>
        <v>11344.632768361584</v>
      </c>
      <c r="H132">
        <f t="shared" si="24"/>
        <v>11.344632768361583</v>
      </c>
      <c r="I132">
        <f t="shared" si="30"/>
        <v>202.58272800645685</v>
      </c>
      <c r="J132">
        <f t="shared" si="31"/>
        <v>202582.72800645683</v>
      </c>
      <c r="K132">
        <f t="shared" si="32"/>
        <v>202.58272800645685</v>
      </c>
      <c r="L132">
        <f>K132-K134</f>
        <v>191.68684422921714</v>
      </c>
    </row>
    <row r="133" spans="1:13">
      <c r="B133" t="s">
        <v>112</v>
      </c>
      <c r="C133">
        <v>0.59</v>
      </c>
      <c r="E133">
        <f t="shared" si="33"/>
        <v>769.33333333333337</v>
      </c>
      <c r="G133">
        <f t="shared" si="25"/>
        <v>13039.54802259887</v>
      </c>
      <c r="H133">
        <f t="shared" si="24"/>
        <v>13.03954802259887</v>
      </c>
      <c r="I133">
        <f t="shared" si="30"/>
        <v>232.84907183212269</v>
      </c>
      <c r="J133">
        <f t="shared" si="31"/>
        <v>232849.07183212269</v>
      </c>
      <c r="K133">
        <f t="shared" si="32"/>
        <v>232.84907183212269</v>
      </c>
      <c r="M133">
        <f>K133-K135</f>
        <v>-176.55367231638425</v>
      </c>
    </row>
    <row r="134" spans="1:13">
      <c r="B134" t="s">
        <v>104</v>
      </c>
      <c r="C134">
        <v>0.15</v>
      </c>
      <c r="E134">
        <f t="shared" si="33"/>
        <v>36.000000000000014</v>
      </c>
      <c r="G134">
        <f t="shared" si="25"/>
        <v>610.16949152542395</v>
      </c>
      <c r="H134">
        <f t="shared" si="24"/>
        <v>0.61016949152542399</v>
      </c>
      <c r="I134">
        <f t="shared" si="30"/>
        <v>10.895883777239714</v>
      </c>
      <c r="J134">
        <f t="shared" si="31"/>
        <v>10895.883777239715</v>
      </c>
      <c r="K134">
        <f t="shared" si="32"/>
        <v>10.895883777239714</v>
      </c>
    </row>
    <row r="135" spans="1:13">
      <c r="B135" t="s">
        <v>19</v>
      </c>
      <c r="C135">
        <v>0.94</v>
      </c>
      <c r="E135">
        <f t="shared" si="33"/>
        <v>1352.6666666666667</v>
      </c>
      <c r="G135">
        <f t="shared" si="25"/>
        <v>22926.553672316386</v>
      </c>
      <c r="H135">
        <f t="shared" si="24"/>
        <v>22.926553672316388</v>
      </c>
      <c r="I135">
        <f t="shared" si="30"/>
        <v>409.40274414850694</v>
      </c>
      <c r="J135">
        <f t="shared" si="31"/>
        <v>409402.74414850696</v>
      </c>
      <c r="K135">
        <f t="shared" si="32"/>
        <v>409.40274414850694</v>
      </c>
    </row>
    <row r="136" spans="1:13">
      <c r="G136">
        <f t="shared" si="25"/>
        <v>0</v>
      </c>
      <c r="H136">
        <f t="shared" si="24"/>
        <v>0</v>
      </c>
      <c r="I136">
        <f t="shared" si="30"/>
        <v>0</v>
      </c>
      <c r="J136">
        <f t="shared" si="31"/>
        <v>0</v>
      </c>
      <c r="K136">
        <f t="shared" si="32"/>
        <v>0</v>
      </c>
    </row>
    <row r="137" spans="1:13">
      <c r="A137" s="1">
        <v>40264</v>
      </c>
      <c r="B137" t="s">
        <v>115</v>
      </c>
      <c r="C137">
        <v>0.74</v>
      </c>
      <c r="E137">
        <f>(C137-0.1274)/0.0006</f>
        <v>1021.0000000000001</v>
      </c>
      <c r="G137">
        <f t="shared" si="25"/>
        <v>17305.084745762713</v>
      </c>
      <c r="H137">
        <f t="shared" si="24"/>
        <v>17.305084745762713</v>
      </c>
      <c r="I137">
        <f t="shared" si="30"/>
        <v>309.01937046004844</v>
      </c>
      <c r="J137">
        <f t="shared" si="31"/>
        <v>309019.37046004843</v>
      </c>
      <c r="K137">
        <f t="shared" si="32"/>
        <v>309.01937046004844</v>
      </c>
      <c r="L137">
        <f>K137-K139</f>
        <v>282.4858757062147</v>
      </c>
    </row>
    <row r="138" spans="1:13">
      <c r="A138" t="s">
        <v>114</v>
      </c>
      <c r="B138" t="s">
        <v>116</v>
      </c>
      <c r="C138">
        <v>1.01</v>
      </c>
      <c r="E138">
        <f t="shared" ref="E138:E140" si="35">(C138-0.1274)/0.0006</f>
        <v>1471.0000000000002</v>
      </c>
      <c r="G138">
        <f t="shared" si="25"/>
        <v>24932.203389830513</v>
      </c>
      <c r="H138">
        <f t="shared" si="24"/>
        <v>24.932203389830512</v>
      </c>
      <c r="I138">
        <f t="shared" si="30"/>
        <v>445.21791767554487</v>
      </c>
      <c r="J138">
        <f t="shared" si="31"/>
        <v>445217.91767554486</v>
      </c>
      <c r="K138">
        <f t="shared" si="32"/>
        <v>445.21791767554487</v>
      </c>
      <c r="M138">
        <f>K138-K140</f>
        <v>10.088781275222004</v>
      </c>
    </row>
    <row r="139" spans="1:13">
      <c r="B139" t="s">
        <v>104</v>
      </c>
      <c r="C139">
        <v>0.18</v>
      </c>
      <c r="E139">
        <f t="shared" si="35"/>
        <v>87.666666666666643</v>
      </c>
      <c r="G139">
        <f t="shared" si="25"/>
        <v>1485.8757062146888</v>
      </c>
      <c r="H139">
        <f t="shared" si="24"/>
        <v>1.4858757062146888</v>
      </c>
      <c r="I139">
        <f t="shared" si="30"/>
        <v>26.533494753833729</v>
      </c>
      <c r="J139">
        <f t="shared" si="31"/>
        <v>26533.494753833729</v>
      </c>
      <c r="K139">
        <f t="shared" si="32"/>
        <v>26.533494753833729</v>
      </c>
    </row>
    <row r="140" spans="1:13">
      <c r="B140" t="s">
        <v>117</v>
      </c>
      <c r="C140">
        <v>0.99</v>
      </c>
      <c r="E140">
        <f t="shared" si="35"/>
        <v>1437.6666666666667</v>
      </c>
      <c r="G140">
        <f t="shared" si="25"/>
        <v>24367.231638418081</v>
      </c>
      <c r="H140">
        <f t="shared" si="24"/>
        <v>24.36723163841808</v>
      </c>
      <c r="I140">
        <f t="shared" si="30"/>
        <v>435.12913640032286</v>
      </c>
      <c r="J140">
        <f t="shared" si="31"/>
        <v>435129.13640032284</v>
      </c>
      <c r="K140">
        <f t="shared" si="32"/>
        <v>435.12913640032286</v>
      </c>
    </row>
    <row r="141" spans="1:13">
      <c r="G141">
        <f t="shared" si="25"/>
        <v>0</v>
      </c>
      <c r="H141">
        <f t="shared" si="24"/>
        <v>0</v>
      </c>
      <c r="I141">
        <f t="shared" si="30"/>
        <v>0</v>
      </c>
      <c r="J141">
        <f t="shared" si="31"/>
        <v>0</v>
      </c>
      <c r="K141">
        <f t="shared" si="32"/>
        <v>0</v>
      </c>
    </row>
    <row r="142" spans="1:13">
      <c r="A142" s="1">
        <v>40291</v>
      </c>
      <c r="B142" t="s">
        <v>119</v>
      </c>
      <c r="C142">
        <v>0.31</v>
      </c>
      <c r="E142">
        <f>(C142-0.1694)/0.0007</f>
        <v>200.85714285714286</v>
      </c>
      <c r="G142">
        <f t="shared" si="25"/>
        <v>3404.358353510896</v>
      </c>
      <c r="H142">
        <f t="shared" si="24"/>
        <v>3.4043583535108959</v>
      </c>
      <c r="I142">
        <f t="shared" si="30"/>
        <v>60.792113455551714</v>
      </c>
      <c r="J142">
        <f t="shared" si="31"/>
        <v>60792.113455551713</v>
      </c>
      <c r="K142">
        <f t="shared" si="32"/>
        <v>60.792113455551714</v>
      </c>
      <c r="L142">
        <f>K142-K146</f>
        <v>51.885160843998619</v>
      </c>
    </row>
    <row r="143" spans="1:13">
      <c r="A143" t="s">
        <v>118</v>
      </c>
      <c r="B143" t="s">
        <v>120</v>
      </c>
      <c r="C143">
        <v>0.86</v>
      </c>
      <c r="E143">
        <f t="shared" ref="E143:E147" si="36">(C143-0.1694)/0.0007</f>
        <v>986.57142857142856</v>
      </c>
      <c r="G143">
        <f t="shared" si="25"/>
        <v>16721.549636803873</v>
      </c>
      <c r="H143">
        <f t="shared" si="24"/>
        <v>16.721549636803871</v>
      </c>
      <c r="I143">
        <f t="shared" si="30"/>
        <v>298.59910065721198</v>
      </c>
      <c r="J143">
        <f t="shared" si="31"/>
        <v>298599.10065721197</v>
      </c>
      <c r="K143">
        <f t="shared" si="32"/>
        <v>298.59910065721198</v>
      </c>
      <c r="M143">
        <f>K143-K147</f>
        <v>-25.942580421999367</v>
      </c>
    </row>
    <row r="144" spans="1:13">
      <c r="B144" t="s">
        <v>121</v>
      </c>
      <c r="C144">
        <v>0.36</v>
      </c>
      <c r="E144">
        <f t="shared" si="36"/>
        <v>272.28571428571428</v>
      </c>
      <c r="G144">
        <f t="shared" si="25"/>
        <v>4615.0121065375306</v>
      </c>
      <c r="H144">
        <f t="shared" si="24"/>
        <v>4.6150121065375309</v>
      </c>
      <c r="I144">
        <f t="shared" si="30"/>
        <v>82.410930473884477</v>
      </c>
      <c r="J144">
        <f t="shared" si="31"/>
        <v>82410.93047388448</v>
      </c>
      <c r="K144">
        <f t="shared" si="32"/>
        <v>82.410930473884477</v>
      </c>
      <c r="L144">
        <f>K144-K146</f>
        <v>73.503977862331382</v>
      </c>
    </row>
    <row r="145" spans="1:13">
      <c r="A145" t="s">
        <v>123</v>
      </c>
      <c r="B145" t="s">
        <v>122</v>
      </c>
      <c r="C145">
        <v>0.6</v>
      </c>
      <c r="E145">
        <f t="shared" si="36"/>
        <v>615.14285714285711</v>
      </c>
      <c r="G145">
        <f t="shared" si="25"/>
        <v>10426.150121065375</v>
      </c>
      <c r="H145">
        <f t="shared" si="24"/>
        <v>10.426150121065374</v>
      </c>
      <c r="I145">
        <f t="shared" si="30"/>
        <v>186.18125216188167</v>
      </c>
      <c r="J145">
        <f t="shared" si="31"/>
        <v>186181.25216188168</v>
      </c>
      <c r="K145">
        <f t="shared" si="32"/>
        <v>186.18125216188167</v>
      </c>
      <c r="M145">
        <f>K145-K147</f>
        <v>-138.36042891732967</v>
      </c>
    </row>
    <row r="146" spans="1:13">
      <c r="B146" t="s">
        <v>104</v>
      </c>
      <c r="C146">
        <v>0.19</v>
      </c>
      <c r="E146">
        <f t="shared" si="36"/>
        <v>29.428571428571438</v>
      </c>
      <c r="G146">
        <f t="shared" si="25"/>
        <v>498.78934624697348</v>
      </c>
      <c r="H146">
        <f t="shared" si="24"/>
        <v>0.49878934624697346</v>
      </c>
      <c r="I146">
        <f t="shared" si="30"/>
        <v>8.9069526115530966</v>
      </c>
      <c r="J146">
        <f t="shared" si="31"/>
        <v>8906.9526115530971</v>
      </c>
      <c r="K146">
        <f t="shared" si="32"/>
        <v>8.9069526115530966</v>
      </c>
    </row>
    <row r="147" spans="1:13">
      <c r="B147" t="s">
        <v>9</v>
      </c>
      <c r="C147">
        <v>0.92</v>
      </c>
      <c r="E147">
        <f t="shared" si="36"/>
        <v>1072.2857142857144</v>
      </c>
      <c r="G147">
        <f t="shared" si="25"/>
        <v>18174.334140435836</v>
      </c>
      <c r="H147">
        <f t="shared" si="24"/>
        <v>18.174334140435835</v>
      </c>
      <c r="I147">
        <f t="shared" si="30"/>
        <v>324.54168107921134</v>
      </c>
      <c r="J147">
        <f t="shared" si="31"/>
        <v>324541.68107921135</v>
      </c>
      <c r="K147">
        <f t="shared" si="32"/>
        <v>324.54168107921134</v>
      </c>
    </row>
  </sheetData>
  <mergeCells count="1">
    <mergeCell ref="E21:F21"/>
  </mergeCells>
  <phoneticPr fontId="4" type="noConversion"/>
  <printOptions gridLines="1"/>
  <pageMargins left="0.75" right="0.75" top="1" bottom="1" header="0.5" footer="0.5"/>
  <pageSetup scale="27" fitToHeight="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6:M156"/>
  <sheetViews>
    <sheetView workbookViewId="0">
      <selection activeCell="F166" sqref="F166"/>
    </sheetView>
  </sheetViews>
  <sheetFormatPr baseColWidth="10" defaultRowHeight="13" x14ac:dyDescent="0"/>
  <cols>
    <col min="2" max="2" width="19.140625" customWidth="1"/>
    <col min="4" max="4" width="20" customWidth="1"/>
  </cols>
  <sheetData>
    <row r="16" spans="1:12">
      <c r="A16" s="6" t="s">
        <v>0</v>
      </c>
      <c r="B16" s="6" t="s">
        <v>1</v>
      </c>
      <c r="C16" s="6" t="s">
        <v>108</v>
      </c>
      <c r="D16" s="6" t="s">
        <v>4</v>
      </c>
      <c r="E16" s="22" t="s">
        <v>73</v>
      </c>
      <c r="F16" s="22"/>
      <c r="G16" s="6" t="s">
        <v>74</v>
      </c>
      <c r="H16" s="6" t="s">
        <v>75</v>
      </c>
      <c r="I16" s="6" t="s">
        <v>76</v>
      </c>
      <c r="J16" s="6" t="s">
        <v>77</v>
      </c>
      <c r="K16" s="6" t="s">
        <v>3</v>
      </c>
      <c r="L16" s="6"/>
    </row>
    <row r="17" spans="1:11">
      <c r="A17" s="1">
        <v>39875</v>
      </c>
      <c r="B17" t="s">
        <v>80</v>
      </c>
      <c r="C17">
        <v>0.41</v>
      </c>
      <c r="D17">
        <f>C17-C19</f>
        <v>-0.19</v>
      </c>
      <c r="E17">
        <f>(D17-0.29)/0.0002</f>
        <v>-2400</v>
      </c>
      <c r="G17">
        <f>(E17/(5.9*10^13))*(1*10^15)</f>
        <v>-40677.96610169491</v>
      </c>
      <c r="H17">
        <f>G17/1000</f>
        <v>-40.677966101694913</v>
      </c>
      <c r="I17">
        <f>H17/0.056</f>
        <v>-726.39225181598056</v>
      </c>
      <c r="J17">
        <f>I17*1000</f>
        <v>-726392.25181598053</v>
      </c>
      <c r="K17" s="7">
        <f>J17/1000</f>
        <v>-726.39225181598056</v>
      </c>
    </row>
    <row r="18" spans="1:11">
      <c r="A18" t="s">
        <v>94</v>
      </c>
      <c r="B18" t="s">
        <v>81</v>
      </c>
      <c r="C18">
        <v>0.7</v>
      </c>
      <c r="E18">
        <f t="shared" ref="E18:E20" si="0">(D18-0.29)/0.0002</f>
        <v>-1449.9999999999998</v>
      </c>
      <c r="G18">
        <f t="shared" ref="G18:G82" si="1">(E18/(5.9*10^13))*(1*10^15)</f>
        <v>-24576.271186440674</v>
      </c>
      <c r="H18">
        <f t="shared" ref="H18:H81" si="2">G18/1000</f>
        <v>-24.576271186440675</v>
      </c>
      <c r="I18">
        <v>596.67030974684201</v>
      </c>
      <c r="J18">
        <v>596670.30974684202</v>
      </c>
      <c r="K18">
        <v>596.67030974684201</v>
      </c>
    </row>
    <row r="19" spans="1:11">
      <c r="B19" t="s">
        <v>82</v>
      </c>
      <c r="C19">
        <v>0.6</v>
      </c>
      <c r="E19">
        <f t="shared" si="0"/>
        <v>-1449.9999999999998</v>
      </c>
      <c r="G19">
        <f t="shared" si="1"/>
        <v>-24576.271186440674</v>
      </c>
      <c r="H19">
        <f t="shared" si="2"/>
        <v>-24.576271186440675</v>
      </c>
      <c r="I19">
        <v>463.73385631482489</v>
      </c>
      <c r="J19">
        <v>463733.85631482489</v>
      </c>
      <c r="K19">
        <v>463.73385631482489</v>
      </c>
    </row>
    <row r="20" spans="1:11">
      <c r="B20" t="s">
        <v>83</v>
      </c>
      <c r="C20">
        <v>0.77</v>
      </c>
      <c r="E20">
        <f t="shared" si="0"/>
        <v>-1449.9999999999998</v>
      </c>
      <c r="G20">
        <f t="shared" si="1"/>
        <v>-24576.271186440674</v>
      </c>
      <c r="H20">
        <f t="shared" si="2"/>
        <v>-24.576271186440675</v>
      </c>
      <c r="I20">
        <v>910.616177630572</v>
      </c>
      <c r="J20">
        <v>910616.177630572</v>
      </c>
      <c r="K20">
        <v>910.616177630572</v>
      </c>
    </row>
    <row r="21" spans="1:11">
      <c r="E21" s="4"/>
      <c r="F21" s="4"/>
      <c r="G21" s="4"/>
      <c r="H21" s="4"/>
      <c r="I21" s="4"/>
      <c r="J21" s="4"/>
      <c r="K21" s="4"/>
    </row>
    <row r="22" spans="1:11">
      <c r="A22" s="1">
        <v>39877</v>
      </c>
      <c r="B22" t="s">
        <v>84</v>
      </c>
      <c r="C22">
        <v>0.52</v>
      </c>
      <c r="D22">
        <f>C22-C26</f>
        <v>0.17000000000000004</v>
      </c>
      <c r="E22">
        <f>(D22-0.0833)/0.0002</f>
        <v>433.50000000000017</v>
      </c>
      <c r="G22">
        <f t="shared" si="1"/>
        <v>7347.4576271186461</v>
      </c>
      <c r="H22">
        <f t="shared" si="2"/>
        <v>7.3474576271186463</v>
      </c>
      <c r="I22">
        <v>590.4963680387408</v>
      </c>
      <c r="J22">
        <v>590496.36803874094</v>
      </c>
      <c r="K22" s="7">
        <v>590.4963680387408</v>
      </c>
    </row>
    <row r="23" spans="1:11">
      <c r="A23" t="s">
        <v>94</v>
      </c>
      <c r="B23" t="s">
        <v>85</v>
      </c>
      <c r="C23">
        <v>0.54</v>
      </c>
      <c r="E23">
        <f t="shared" ref="E23:E27" si="3">(D23-0.0833)/0.0002</f>
        <v>-416.5</v>
      </c>
      <c r="G23">
        <f t="shared" si="1"/>
        <v>-7059.3220338983047</v>
      </c>
      <c r="H23">
        <f t="shared" si="2"/>
        <v>-7.0593220338983045</v>
      </c>
      <c r="I23">
        <v>1223.1191514505372</v>
      </c>
      <c r="J23">
        <v>1223119.1514505399</v>
      </c>
      <c r="K23">
        <v>1223.1191514505372</v>
      </c>
    </row>
    <row r="24" spans="1:11">
      <c r="B24" t="s">
        <v>87</v>
      </c>
      <c r="C24">
        <v>0.62</v>
      </c>
      <c r="D24">
        <f>C24-C26</f>
        <v>0.27</v>
      </c>
      <c r="E24">
        <f t="shared" si="3"/>
        <v>933.50000000000011</v>
      </c>
      <c r="G24">
        <f t="shared" si="1"/>
        <v>15822.033898305086</v>
      </c>
      <c r="H24">
        <f t="shared" si="2"/>
        <v>15.822033898305087</v>
      </c>
      <c r="I24">
        <v>810.46926480883212</v>
      </c>
      <c r="J24">
        <v>810469.2648088322</v>
      </c>
      <c r="K24" s="7">
        <v>810.46926480883212</v>
      </c>
    </row>
    <row r="25" spans="1:11">
      <c r="B25" t="s">
        <v>89</v>
      </c>
      <c r="C25">
        <v>0.48</v>
      </c>
      <c r="E25">
        <f t="shared" si="3"/>
        <v>-416.5</v>
      </c>
      <c r="G25">
        <f t="shared" si="1"/>
        <v>-7059.3220338983047</v>
      </c>
      <c r="H25">
        <f t="shared" si="2"/>
        <v>-7.0593220338983045</v>
      </c>
      <c r="I25">
        <v>1063.3578140153238</v>
      </c>
      <c r="J25">
        <v>1063357.81401532</v>
      </c>
      <c r="K25">
        <v>1063.3578140153238</v>
      </c>
    </row>
    <row r="26" spans="1:11">
      <c r="B26" t="s">
        <v>82</v>
      </c>
      <c r="C26">
        <v>0.35</v>
      </c>
      <c r="E26">
        <f t="shared" si="3"/>
        <v>-416.5</v>
      </c>
      <c r="G26">
        <f t="shared" si="1"/>
        <v>-7059.3220338983047</v>
      </c>
      <c r="H26">
        <f t="shared" si="2"/>
        <v>-7.0593220338983045</v>
      </c>
      <c r="I26">
        <v>520.65095921028126</v>
      </c>
      <c r="J26">
        <v>520650.95921028132</v>
      </c>
      <c r="K26">
        <v>520.65095921028126</v>
      </c>
    </row>
    <row r="27" spans="1:11">
      <c r="B27" t="s">
        <v>83</v>
      </c>
      <c r="C27">
        <v>0.5</v>
      </c>
      <c r="E27">
        <f t="shared" si="3"/>
        <v>-416.5</v>
      </c>
      <c r="G27">
        <f t="shared" si="1"/>
        <v>-7059.3220338983047</v>
      </c>
      <c r="H27">
        <f t="shared" si="2"/>
        <v>-7.0593220338983045</v>
      </c>
      <c r="I27">
        <v>1456.740001669868</v>
      </c>
      <c r="J27">
        <f>I27*1000</f>
        <v>1456740.0016698679</v>
      </c>
      <c r="K27">
        <v>1456.740001669868</v>
      </c>
    </row>
    <row r="29" spans="1:11">
      <c r="A29" s="1">
        <v>39913</v>
      </c>
      <c r="B29" t="s">
        <v>48</v>
      </c>
      <c r="C29">
        <v>0.67</v>
      </c>
      <c r="D29">
        <f>C29-C33</f>
        <v>0.54</v>
      </c>
      <c r="E29">
        <f>(D29-0.0202)/0.0003</f>
        <v>1732.666666666667</v>
      </c>
      <c r="G29">
        <f t="shared" si="1"/>
        <v>29367.231638418081</v>
      </c>
      <c r="H29">
        <f t="shared" si="2"/>
        <v>29.36723163841808</v>
      </c>
      <c r="I29">
        <f t="shared" ref="I29:I34" si="4">H29/0.056</f>
        <v>524.41485068603708</v>
      </c>
      <c r="J29">
        <f t="shared" ref="J29:J34" si="5">I29*1000</f>
        <v>524414.8506860371</v>
      </c>
      <c r="K29" s="7">
        <f t="shared" ref="K29:K34" si="6">J29/1000</f>
        <v>524.41485068603708</v>
      </c>
    </row>
    <row r="30" spans="1:11">
      <c r="A30" t="s">
        <v>95</v>
      </c>
      <c r="B30" t="s">
        <v>49</v>
      </c>
      <c r="C30">
        <v>0.55000000000000004</v>
      </c>
      <c r="E30">
        <f t="shared" ref="E30:E34" si="7">(C30-0.0202)/0.0003</f>
        <v>1766.0000000000002</v>
      </c>
      <c r="G30">
        <f t="shared" si="1"/>
        <v>29932.203389830513</v>
      </c>
      <c r="H30">
        <f t="shared" si="2"/>
        <v>29.932203389830512</v>
      </c>
      <c r="I30">
        <f t="shared" si="4"/>
        <v>534.50363196125909</v>
      </c>
      <c r="J30">
        <f t="shared" si="5"/>
        <v>534503.63196125906</v>
      </c>
      <c r="K30">
        <f t="shared" si="6"/>
        <v>534.50363196125909</v>
      </c>
    </row>
    <row r="31" spans="1:11">
      <c r="B31" t="s">
        <v>50</v>
      </c>
      <c r="C31">
        <v>0.23</v>
      </c>
      <c r="D31">
        <f>C31-C33</f>
        <v>0.1</v>
      </c>
      <c r="E31">
        <f>(D31-0.0202)/0.0003</f>
        <v>266.00000000000006</v>
      </c>
      <c r="G31">
        <f t="shared" si="1"/>
        <v>4508.4745762711873</v>
      </c>
      <c r="H31">
        <f t="shared" si="2"/>
        <v>4.5084745762711869</v>
      </c>
      <c r="I31">
        <f t="shared" si="4"/>
        <v>80.508474576271198</v>
      </c>
      <c r="J31">
        <f t="shared" si="5"/>
        <v>80508.474576271197</v>
      </c>
      <c r="K31" s="7">
        <f t="shared" si="6"/>
        <v>80.508474576271198</v>
      </c>
    </row>
    <row r="32" spans="1:11">
      <c r="B32" t="s">
        <v>51</v>
      </c>
      <c r="C32">
        <v>0.35</v>
      </c>
      <c r="E32">
        <f t="shared" si="7"/>
        <v>1099.3333333333333</v>
      </c>
      <c r="G32">
        <f t="shared" si="1"/>
        <v>18632.768361581919</v>
      </c>
      <c r="H32">
        <f t="shared" si="2"/>
        <v>18.63276836158192</v>
      </c>
      <c r="I32">
        <f t="shared" si="4"/>
        <v>332.72800645682003</v>
      </c>
      <c r="J32">
        <f t="shared" si="5"/>
        <v>332728.00645682</v>
      </c>
      <c r="K32">
        <f t="shared" si="6"/>
        <v>332.72800645682003</v>
      </c>
    </row>
    <row r="33" spans="1:11">
      <c r="B33" t="s">
        <v>109</v>
      </c>
      <c r="C33">
        <v>0.13</v>
      </c>
      <c r="E33">
        <f t="shared" si="7"/>
        <v>366.00000000000006</v>
      </c>
      <c r="G33">
        <f t="shared" si="1"/>
        <v>6203.3898305084758</v>
      </c>
      <c r="H33">
        <f t="shared" si="2"/>
        <v>6.2033898305084758</v>
      </c>
      <c r="I33">
        <f t="shared" si="4"/>
        <v>110.77481840193707</v>
      </c>
      <c r="J33">
        <f t="shared" si="5"/>
        <v>110774.81840193707</v>
      </c>
      <c r="K33">
        <f t="shared" si="6"/>
        <v>110.77481840193707</v>
      </c>
    </row>
    <row r="34" spans="1:11">
      <c r="B34" t="s">
        <v>110</v>
      </c>
      <c r="C34">
        <v>0.8</v>
      </c>
      <c r="E34">
        <f t="shared" si="7"/>
        <v>2599.3333333333339</v>
      </c>
      <c r="G34">
        <f t="shared" si="1"/>
        <v>44056.497175141252</v>
      </c>
      <c r="H34">
        <f t="shared" si="2"/>
        <v>44.056497175141253</v>
      </c>
      <c r="I34">
        <f t="shared" si="4"/>
        <v>786.72316384180806</v>
      </c>
      <c r="J34">
        <f t="shared" si="5"/>
        <v>786723.1638418081</v>
      </c>
      <c r="K34">
        <f t="shared" si="6"/>
        <v>786.72316384180806</v>
      </c>
    </row>
    <row r="36" spans="1:11">
      <c r="A36" s="1">
        <v>39949</v>
      </c>
      <c r="B36" t="s">
        <v>54</v>
      </c>
      <c r="C36">
        <v>0.19</v>
      </c>
      <c r="D36">
        <f>C36-C40</f>
        <v>0.1</v>
      </c>
      <c r="E36">
        <f>(D36-0.0507)/0.0003</f>
        <v>164.33333333333337</v>
      </c>
      <c r="G36">
        <f t="shared" si="1"/>
        <v>2785.3107344632772</v>
      </c>
      <c r="H36">
        <f t="shared" si="2"/>
        <v>2.7853107344632773</v>
      </c>
      <c r="I36">
        <f t="shared" ref="I36:I41" si="8">H36/0.056</f>
        <v>49.737691686844236</v>
      </c>
      <c r="J36">
        <f t="shared" ref="J36:J41" si="9">I36*1000</f>
        <v>49737.691686844235</v>
      </c>
      <c r="K36" s="7">
        <f t="shared" ref="K36:K41" si="10">J36/1000</f>
        <v>49.737691686844236</v>
      </c>
    </row>
    <row r="37" spans="1:11">
      <c r="A37" t="s">
        <v>96</v>
      </c>
      <c r="B37" t="s">
        <v>55</v>
      </c>
      <c r="E37">
        <f t="shared" ref="E37:E41" si="11">(C37-0.0507)/0.0003</f>
        <v>-169.00000000000003</v>
      </c>
      <c r="G37">
        <f t="shared" si="1"/>
        <v>-2864.4067796610175</v>
      </c>
      <c r="H37">
        <f t="shared" si="2"/>
        <v>-2.8644067796610173</v>
      </c>
      <c r="I37">
        <f t="shared" si="8"/>
        <v>-51.150121065375309</v>
      </c>
      <c r="J37">
        <f t="shared" si="9"/>
        <v>-51150.121065375308</v>
      </c>
      <c r="K37">
        <f t="shared" si="10"/>
        <v>-51.150121065375309</v>
      </c>
    </row>
    <row r="38" spans="1:11">
      <c r="B38" t="s">
        <v>56</v>
      </c>
      <c r="C38">
        <v>0.23</v>
      </c>
      <c r="D38">
        <f>C38-C40</f>
        <v>0.14000000000000001</v>
      </c>
      <c r="E38">
        <f>(D38-0.0507)/0.0003</f>
        <v>297.66666666666674</v>
      </c>
      <c r="G38">
        <f t="shared" si="1"/>
        <v>5045.1977401129961</v>
      </c>
      <c r="H38">
        <f t="shared" si="2"/>
        <v>5.0451977401129957</v>
      </c>
      <c r="I38">
        <f t="shared" si="8"/>
        <v>90.092816787732062</v>
      </c>
      <c r="J38">
        <f t="shared" si="9"/>
        <v>90092.816787732067</v>
      </c>
      <c r="K38" s="7">
        <f t="shared" si="10"/>
        <v>90.092816787732062</v>
      </c>
    </row>
    <row r="39" spans="1:11">
      <c r="B39" t="s">
        <v>57</v>
      </c>
      <c r="C39">
        <v>0.28999999999999998</v>
      </c>
      <c r="E39">
        <f t="shared" si="11"/>
        <v>797.66666666666674</v>
      </c>
      <c r="G39">
        <f t="shared" si="1"/>
        <v>13519.774011299436</v>
      </c>
      <c r="H39">
        <f t="shared" si="2"/>
        <v>13.519774011299436</v>
      </c>
      <c r="I39">
        <f t="shared" si="8"/>
        <v>241.42453591606136</v>
      </c>
      <c r="J39">
        <f t="shared" si="9"/>
        <v>241424.53591606137</v>
      </c>
      <c r="K39">
        <f t="shared" si="10"/>
        <v>241.42453591606139</v>
      </c>
    </row>
    <row r="40" spans="1:11">
      <c r="B40" t="s">
        <v>58</v>
      </c>
      <c r="C40">
        <v>0.09</v>
      </c>
      <c r="E40">
        <f t="shared" si="11"/>
        <v>131</v>
      </c>
      <c r="G40">
        <f t="shared" si="1"/>
        <v>2220.3389830508477</v>
      </c>
      <c r="H40">
        <f t="shared" si="2"/>
        <v>2.2203389830508478</v>
      </c>
      <c r="I40">
        <f t="shared" si="8"/>
        <v>39.648910411622282</v>
      </c>
      <c r="J40">
        <f t="shared" si="9"/>
        <v>39648.910411622281</v>
      </c>
      <c r="K40">
        <f t="shared" si="10"/>
        <v>39.648910411622282</v>
      </c>
    </row>
    <row r="41" spans="1:11">
      <c r="B41" t="s">
        <v>59</v>
      </c>
      <c r="C41">
        <v>0.75</v>
      </c>
      <c r="E41">
        <f t="shared" si="11"/>
        <v>2331.0000000000005</v>
      </c>
      <c r="G41">
        <f t="shared" si="1"/>
        <v>39508.47457627119</v>
      </c>
      <c r="H41">
        <f t="shared" si="2"/>
        <v>39.50847457627119</v>
      </c>
      <c r="I41">
        <f t="shared" si="8"/>
        <v>705.50847457627128</v>
      </c>
      <c r="J41">
        <f t="shared" si="9"/>
        <v>705508.47457627126</v>
      </c>
      <c r="K41">
        <f t="shared" si="10"/>
        <v>705.50847457627128</v>
      </c>
    </row>
    <row r="43" spans="1:11">
      <c r="A43" s="1">
        <v>40005</v>
      </c>
      <c r="B43" t="s">
        <v>60</v>
      </c>
      <c r="C43">
        <v>0.34</v>
      </c>
      <c r="D43">
        <f>C43-C47</f>
        <v>0.21000000000000002</v>
      </c>
      <c r="E43">
        <f>(D43+0.0133)/0.0005</f>
        <v>446.6</v>
      </c>
      <c r="G43">
        <f t="shared" si="1"/>
        <v>7569.4915254237285</v>
      </c>
      <c r="H43">
        <f t="shared" si="2"/>
        <v>7.5694915254237287</v>
      </c>
      <c r="I43">
        <f t="shared" ref="I43:I48" si="12">H43/0.056</f>
        <v>135.16949152542372</v>
      </c>
      <c r="J43">
        <f t="shared" ref="J43:J48" si="13">I43*1000</f>
        <v>135169.49152542371</v>
      </c>
      <c r="K43" s="7">
        <f t="shared" ref="K43:K48" si="14">J43/1000</f>
        <v>135.16949152542372</v>
      </c>
    </row>
    <row r="44" spans="1:11">
      <c r="A44" t="s">
        <v>97</v>
      </c>
      <c r="B44" t="s">
        <v>61</v>
      </c>
      <c r="C44">
        <v>0.28000000000000003</v>
      </c>
      <c r="E44">
        <f t="shared" ref="E44:E48" si="15">(C44+0.0133)/0.0005</f>
        <v>586.6</v>
      </c>
      <c r="G44">
        <f t="shared" si="1"/>
        <v>9942.3728813559319</v>
      </c>
      <c r="H44">
        <f t="shared" si="2"/>
        <v>9.9423728813559311</v>
      </c>
      <c r="I44">
        <f t="shared" si="12"/>
        <v>177.5423728813559</v>
      </c>
      <c r="J44">
        <f t="shared" si="13"/>
        <v>177542.3728813559</v>
      </c>
      <c r="K44">
        <f t="shared" si="14"/>
        <v>177.5423728813559</v>
      </c>
    </row>
    <row r="45" spans="1:11">
      <c r="B45" t="s">
        <v>62</v>
      </c>
      <c r="C45">
        <v>0.2</v>
      </c>
      <c r="D45">
        <f>C45-C47</f>
        <v>7.0000000000000007E-2</v>
      </c>
      <c r="E45">
        <f>(D45+0.0133)/0.0005</f>
        <v>166.60000000000002</v>
      </c>
      <c r="G45">
        <f t="shared" si="1"/>
        <v>2823.7288135593226</v>
      </c>
      <c r="H45">
        <f t="shared" si="2"/>
        <v>2.8237288135593226</v>
      </c>
      <c r="I45">
        <f t="shared" si="12"/>
        <v>50.423728813559329</v>
      </c>
      <c r="J45">
        <f t="shared" si="13"/>
        <v>50423.728813559326</v>
      </c>
      <c r="K45" s="7">
        <f t="shared" si="14"/>
        <v>50.423728813559329</v>
      </c>
    </row>
    <row r="46" spans="1:11">
      <c r="B46" t="s">
        <v>63</v>
      </c>
      <c r="C46">
        <v>0.35</v>
      </c>
      <c r="E46">
        <f t="shared" si="15"/>
        <v>726.59999999999991</v>
      </c>
      <c r="G46">
        <f t="shared" si="1"/>
        <v>12315.254237288134</v>
      </c>
      <c r="H46">
        <f t="shared" si="2"/>
        <v>12.315254237288134</v>
      </c>
      <c r="I46">
        <f t="shared" si="12"/>
        <v>219.91525423728808</v>
      </c>
      <c r="J46">
        <f t="shared" si="13"/>
        <v>219915.25423728809</v>
      </c>
      <c r="K46">
        <f t="shared" si="14"/>
        <v>219.91525423728808</v>
      </c>
    </row>
    <row r="47" spans="1:11">
      <c r="B47" t="s">
        <v>58</v>
      </c>
      <c r="C47">
        <v>0.13</v>
      </c>
      <c r="E47">
        <f t="shared" si="15"/>
        <v>286.60000000000002</v>
      </c>
      <c r="G47">
        <f t="shared" si="1"/>
        <v>4857.6271186440681</v>
      </c>
      <c r="H47">
        <f t="shared" si="2"/>
        <v>4.8576271186440678</v>
      </c>
      <c r="I47">
        <f t="shared" si="12"/>
        <v>86.743341404358347</v>
      </c>
      <c r="J47">
        <f t="shared" si="13"/>
        <v>86743.341404358347</v>
      </c>
      <c r="K47">
        <f t="shared" si="14"/>
        <v>86.743341404358347</v>
      </c>
    </row>
    <row r="48" spans="1:11">
      <c r="B48" t="s">
        <v>59</v>
      </c>
      <c r="C48">
        <v>0.68</v>
      </c>
      <c r="E48">
        <f t="shared" si="15"/>
        <v>1386.6000000000001</v>
      </c>
      <c r="G48">
        <f t="shared" si="1"/>
        <v>23501.69491525424</v>
      </c>
      <c r="H48">
        <f t="shared" si="2"/>
        <v>23.501694915254241</v>
      </c>
      <c r="I48">
        <f t="shared" si="12"/>
        <v>419.67312348668287</v>
      </c>
      <c r="J48">
        <f t="shared" si="13"/>
        <v>419673.12348668289</v>
      </c>
      <c r="K48">
        <f t="shared" si="14"/>
        <v>419.67312348668287</v>
      </c>
    </row>
    <row r="50" spans="1:11">
      <c r="A50" s="1">
        <v>40089</v>
      </c>
      <c r="B50" t="s">
        <v>64</v>
      </c>
      <c r="C50">
        <v>0.31</v>
      </c>
      <c r="D50">
        <f>C50-C54</f>
        <v>0.44</v>
      </c>
      <c r="E50">
        <f>(D50-0.0006)/0.0005</f>
        <v>878.8</v>
      </c>
      <c r="G50">
        <f t="shared" si="1"/>
        <v>14894.915254237287</v>
      </c>
      <c r="H50">
        <f t="shared" si="2"/>
        <v>14.894915254237286</v>
      </c>
      <c r="I50">
        <f t="shared" ref="I50:I113" si="16">H50/0.056</f>
        <v>265.98062953995156</v>
      </c>
      <c r="J50">
        <f t="shared" ref="J50:J113" si="17">I50*1000</f>
        <v>265980.62953995157</v>
      </c>
      <c r="K50" s="7">
        <f t="shared" ref="K50:K113" si="18">J50/1000</f>
        <v>265.98062953995156</v>
      </c>
    </row>
    <row r="51" spans="1:11">
      <c r="A51" t="s">
        <v>98</v>
      </c>
      <c r="B51" t="s">
        <v>65</v>
      </c>
      <c r="C51">
        <v>0.22</v>
      </c>
      <c r="E51">
        <f t="shared" ref="E51:E55" si="19">(C51-0.0006)/0.0005</f>
        <v>438.8</v>
      </c>
      <c r="G51">
        <f t="shared" si="1"/>
        <v>7437.2881355932204</v>
      </c>
      <c r="H51">
        <f t="shared" si="2"/>
        <v>7.4372881355932208</v>
      </c>
      <c r="I51">
        <f t="shared" si="16"/>
        <v>132.8087167070218</v>
      </c>
      <c r="J51">
        <f t="shared" si="17"/>
        <v>132808.71670702181</v>
      </c>
      <c r="K51">
        <f t="shared" si="18"/>
        <v>132.8087167070218</v>
      </c>
    </row>
    <row r="52" spans="1:11">
      <c r="B52" t="s">
        <v>66</v>
      </c>
      <c r="C52">
        <v>0.13</v>
      </c>
      <c r="D52">
        <f>C52-C54</f>
        <v>0.26</v>
      </c>
      <c r="E52">
        <f>(D52-0.0006)/0.0005</f>
        <v>518.80000000000007</v>
      </c>
      <c r="G52">
        <f t="shared" si="1"/>
        <v>8793.220338983052</v>
      </c>
      <c r="H52">
        <f t="shared" si="2"/>
        <v>8.7932203389830512</v>
      </c>
      <c r="I52">
        <f t="shared" si="16"/>
        <v>157.02179176755448</v>
      </c>
      <c r="J52">
        <f t="shared" si="17"/>
        <v>157021.79176755447</v>
      </c>
      <c r="K52" s="7">
        <f t="shared" si="18"/>
        <v>157.02179176755448</v>
      </c>
    </row>
    <row r="53" spans="1:11">
      <c r="B53" t="s">
        <v>67</v>
      </c>
      <c r="C53">
        <v>0.19</v>
      </c>
      <c r="E53">
        <f t="shared" si="19"/>
        <v>378.8</v>
      </c>
      <c r="G53">
        <f t="shared" si="1"/>
        <v>6420.3389830508477</v>
      </c>
      <c r="H53">
        <f t="shared" si="2"/>
        <v>6.4203389830508479</v>
      </c>
      <c r="I53">
        <f t="shared" si="16"/>
        <v>114.64891041162228</v>
      </c>
      <c r="J53">
        <f t="shared" si="17"/>
        <v>114648.91041162229</v>
      </c>
      <c r="K53">
        <f t="shared" si="18"/>
        <v>114.64891041162228</v>
      </c>
    </row>
    <row r="54" spans="1:11">
      <c r="B54" t="s">
        <v>58</v>
      </c>
      <c r="C54">
        <v>-0.13</v>
      </c>
      <c r="E54">
        <f t="shared" si="19"/>
        <v>-261.2</v>
      </c>
      <c r="G54">
        <f t="shared" si="1"/>
        <v>-4427.1186440677957</v>
      </c>
      <c r="H54">
        <f t="shared" si="2"/>
        <v>-4.4271186440677956</v>
      </c>
      <c r="I54">
        <f t="shared" si="16"/>
        <v>-79.055690072639209</v>
      </c>
      <c r="J54">
        <f t="shared" si="17"/>
        <v>-79055.690072639205</v>
      </c>
      <c r="K54">
        <f t="shared" si="18"/>
        <v>-79.055690072639209</v>
      </c>
    </row>
    <row r="55" spans="1:11">
      <c r="B55" t="s">
        <v>59</v>
      </c>
      <c r="C55">
        <v>0.56000000000000005</v>
      </c>
      <c r="E55">
        <f t="shared" si="19"/>
        <v>1118.8</v>
      </c>
      <c r="G55">
        <f t="shared" si="1"/>
        <v>18962.711864406781</v>
      </c>
      <c r="H55">
        <f t="shared" si="2"/>
        <v>18.962711864406781</v>
      </c>
      <c r="I55">
        <f t="shared" si="16"/>
        <v>338.61985472154964</v>
      </c>
      <c r="J55">
        <f t="shared" si="17"/>
        <v>338619.85472154967</v>
      </c>
      <c r="K55">
        <f t="shared" si="18"/>
        <v>338.61985472154964</v>
      </c>
    </row>
    <row r="56" spans="1:11">
      <c r="G56">
        <f t="shared" si="1"/>
        <v>0</v>
      </c>
      <c r="H56">
        <f t="shared" si="2"/>
        <v>0</v>
      </c>
      <c r="I56">
        <f t="shared" si="16"/>
        <v>0</v>
      </c>
      <c r="J56">
        <f t="shared" si="17"/>
        <v>0</v>
      </c>
      <c r="K56">
        <f t="shared" si="18"/>
        <v>0</v>
      </c>
    </row>
    <row r="57" spans="1:11">
      <c r="A57" s="1">
        <v>40247</v>
      </c>
      <c r="B57" t="s">
        <v>100</v>
      </c>
      <c r="C57">
        <v>0.81</v>
      </c>
      <c r="D57">
        <f>C57-C61</f>
        <v>0.53</v>
      </c>
      <c r="E57">
        <f>(D57-0.1277)/0.0007</f>
        <v>574.71428571428567</v>
      </c>
      <c r="G57">
        <f t="shared" si="1"/>
        <v>9740.9200968523</v>
      </c>
      <c r="H57">
        <f t="shared" si="2"/>
        <v>9.7409200968522995</v>
      </c>
      <c r="I57">
        <f t="shared" si="16"/>
        <v>173.94500172950535</v>
      </c>
      <c r="J57">
        <f t="shared" si="17"/>
        <v>173945.00172950534</v>
      </c>
      <c r="K57" s="7">
        <f t="shared" si="18"/>
        <v>173.94500172950535</v>
      </c>
    </row>
    <row r="58" spans="1:11">
      <c r="A58" t="s">
        <v>99</v>
      </c>
      <c r="B58" t="s">
        <v>101</v>
      </c>
      <c r="C58">
        <v>0.88</v>
      </c>
      <c r="E58">
        <f t="shared" ref="E58:E62" si="20">(C58-0.1277)/0.0007</f>
        <v>1074.7142857142858</v>
      </c>
      <c r="G58">
        <f t="shared" si="1"/>
        <v>18215.496368038745</v>
      </c>
      <c r="H58">
        <f t="shared" si="2"/>
        <v>18.215496368038746</v>
      </c>
      <c r="I58">
        <f t="shared" si="16"/>
        <v>325.27672085783473</v>
      </c>
      <c r="J58">
        <f t="shared" si="17"/>
        <v>325276.72085783473</v>
      </c>
      <c r="K58">
        <f t="shared" si="18"/>
        <v>325.27672085783473</v>
      </c>
    </row>
    <row r="59" spans="1:11">
      <c r="B59" t="s">
        <v>102</v>
      </c>
      <c r="C59">
        <v>1.33</v>
      </c>
      <c r="D59">
        <f>C59-C61</f>
        <v>1.05</v>
      </c>
      <c r="E59">
        <f>(D59-0.1277)/0.0007</f>
        <v>1317.5714285714287</v>
      </c>
      <c r="G59">
        <f t="shared" si="1"/>
        <v>22331.7191283293</v>
      </c>
      <c r="H59">
        <f t="shared" si="2"/>
        <v>22.331719128329301</v>
      </c>
      <c r="I59">
        <f t="shared" si="16"/>
        <v>398.78069872016607</v>
      </c>
      <c r="J59">
        <f t="shared" si="17"/>
        <v>398780.69872016605</v>
      </c>
      <c r="K59" s="7">
        <f t="shared" si="18"/>
        <v>398.78069872016607</v>
      </c>
    </row>
    <row r="60" spans="1:11">
      <c r="B60" t="s">
        <v>103</v>
      </c>
      <c r="C60">
        <v>1.36</v>
      </c>
      <c r="E60">
        <f t="shared" si="20"/>
        <v>1760.4285714285718</v>
      </c>
      <c r="G60">
        <f t="shared" si="1"/>
        <v>29837.772397094435</v>
      </c>
      <c r="H60">
        <f t="shared" si="2"/>
        <v>29.837772397094437</v>
      </c>
      <c r="I60">
        <f t="shared" si="16"/>
        <v>532.81736423382927</v>
      </c>
      <c r="J60">
        <f t="shared" si="17"/>
        <v>532817.36423382931</v>
      </c>
      <c r="K60">
        <f t="shared" si="18"/>
        <v>532.81736423382927</v>
      </c>
    </row>
    <row r="61" spans="1:11">
      <c r="B61" t="s">
        <v>104</v>
      </c>
      <c r="C61">
        <v>0.28000000000000003</v>
      </c>
      <c r="E61">
        <f t="shared" si="20"/>
        <v>217.57142857142861</v>
      </c>
      <c r="G61">
        <f t="shared" si="1"/>
        <v>3687.6513317191288</v>
      </c>
      <c r="H61">
        <f t="shared" si="2"/>
        <v>3.6876513317191288</v>
      </c>
      <c r="I61">
        <f t="shared" si="16"/>
        <v>65.850916637841578</v>
      </c>
      <c r="J61">
        <f t="shared" si="17"/>
        <v>65850.916637841583</v>
      </c>
      <c r="K61">
        <f t="shared" si="18"/>
        <v>65.850916637841578</v>
      </c>
    </row>
    <row r="62" spans="1:11">
      <c r="B62" t="s">
        <v>105</v>
      </c>
      <c r="C62">
        <v>1.0900000000000001</v>
      </c>
      <c r="E62">
        <f t="shared" si="20"/>
        <v>1374.7142857142858</v>
      </c>
      <c r="G62">
        <f t="shared" si="1"/>
        <v>23300.242130750608</v>
      </c>
      <c r="H62">
        <f t="shared" si="2"/>
        <v>23.300242130750608</v>
      </c>
      <c r="I62">
        <f t="shared" si="16"/>
        <v>416.07575233483226</v>
      </c>
      <c r="J62">
        <f t="shared" si="17"/>
        <v>416075.75233483227</v>
      </c>
      <c r="K62">
        <f t="shared" si="18"/>
        <v>416.07575233483226</v>
      </c>
    </row>
    <row r="63" spans="1:11">
      <c r="G63">
        <f t="shared" si="1"/>
        <v>0</v>
      </c>
      <c r="H63">
        <f t="shared" si="2"/>
        <v>0</v>
      </c>
      <c r="I63">
        <f t="shared" si="16"/>
        <v>0</v>
      </c>
      <c r="J63">
        <f t="shared" si="17"/>
        <v>0</v>
      </c>
      <c r="K63">
        <f t="shared" si="18"/>
        <v>0</v>
      </c>
    </row>
    <row r="64" spans="1:11">
      <c r="A64" s="1">
        <v>40249</v>
      </c>
      <c r="B64" t="s">
        <v>107</v>
      </c>
      <c r="C64">
        <v>0.87</v>
      </c>
      <c r="D64">
        <f>C64-C68</f>
        <v>0.46</v>
      </c>
      <c r="E64">
        <f>(D64-0.1772)/0.0004</f>
        <v>707.00000000000011</v>
      </c>
      <c r="G64">
        <f t="shared" si="1"/>
        <v>11983.050847457629</v>
      </c>
      <c r="H64">
        <f t="shared" si="2"/>
        <v>11.98305084745763</v>
      </c>
      <c r="I64">
        <f t="shared" si="16"/>
        <v>213.98305084745766</v>
      </c>
      <c r="J64">
        <f t="shared" si="17"/>
        <v>213983.05084745766</v>
      </c>
      <c r="K64" s="7">
        <f t="shared" si="18"/>
        <v>213.98305084745766</v>
      </c>
    </row>
    <row r="65" spans="1:11">
      <c r="A65" t="s">
        <v>106</v>
      </c>
      <c r="B65" t="s">
        <v>8</v>
      </c>
      <c r="C65">
        <v>0.89</v>
      </c>
      <c r="E65">
        <f t="shared" ref="E65:E69" si="21">(C65-0.1772)/0.0004</f>
        <v>1782</v>
      </c>
      <c r="G65">
        <f t="shared" si="1"/>
        <v>30203.389830508477</v>
      </c>
      <c r="H65">
        <f t="shared" si="2"/>
        <v>30.203389830508478</v>
      </c>
      <c r="I65">
        <f t="shared" si="16"/>
        <v>539.34624697336562</v>
      </c>
      <c r="J65">
        <f t="shared" si="17"/>
        <v>539346.24697336566</v>
      </c>
      <c r="K65">
        <f t="shared" si="18"/>
        <v>539.34624697336562</v>
      </c>
    </row>
    <row r="66" spans="1:11">
      <c r="B66" t="s">
        <v>6</v>
      </c>
      <c r="C66">
        <v>1.6</v>
      </c>
      <c r="D66">
        <f>C66-C68</f>
        <v>1.1900000000000002</v>
      </c>
      <c r="E66">
        <f>(D66-0.1772)/0.0004</f>
        <v>2532.0000000000005</v>
      </c>
      <c r="G66">
        <f t="shared" si="1"/>
        <v>42915.254237288143</v>
      </c>
      <c r="H66">
        <f t="shared" si="2"/>
        <v>42.915254237288146</v>
      </c>
      <c r="I66">
        <f t="shared" si="16"/>
        <v>766.34382566585975</v>
      </c>
      <c r="J66">
        <f t="shared" si="17"/>
        <v>766343.82566585974</v>
      </c>
      <c r="K66" s="7">
        <f t="shared" si="18"/>
        <v>766.34382566585975</v>
      </c>
    </row>
    <row r="67" spans="1:11">
      <c r="B67" t="s">
        <v>7</v>
      </c>
      <c r="C67">
        <v>1.7</v>
      </c>
      <c r="E67">
        <f t="shared" si="21"/>
        <v>3806.9999999999995</v>
      </c>
      <c r="G67">
        <f t="shared" si="1"/>
        <v>64525.423728813555</v>
      </c>
      <c r="H67">
        <f t="shared" si="2"/>
        <v>64.52542372881355</v>
      </c>
      <c r="I67">
        <f t="shared" si="16"/>
        <v>1152.2397094430992</v>
      </c>
      <c r="J67">
        <f t="shared" si="17"/>
        <v>1152239.7094430991</v>
      </c>
      <c r="K67">
        <f t="shared" si="18"/>
        <v>1152.2397094430992</v>
      </c>
    </row>
    <row r="68" spans="1:11">
      <c r="B68" t="s">
        <v>104</v>
      </c>
      <c r="C68">
        <v>0.41</v>
      </c>
      <c r="E68">
        <f t="shared" si="21"/>
        <v>581.99999999999989</v>
      </c>
      <c r="G68">
        <f t="shared" si="1"/>
        <v>9864.4067796610143</v>
      </c>
      <c r="H68">
        <f t="shared" si="2"/>
        <v>9.8644067796610138</v>
      </c>
      <c r="I68">
        <f t="shared" si="16"/>
        <v>176.15012106537523</v>
      </c>
      <c r="J68">
        <f t="shared" si="17"/>
        <v>176150.12106537522</v>
      </c>
      <c r="K68">
        <f t="shared" si="18"/>
        <v>176.15012106537523</v>
      </c>
    </row>
    <row r="69" spans="1:11">
      <c r="B69" t="s">
        <v>9</v>
      </c>
      <c r="C69">
        <v>1.1000000000000001</v>
      </c>
      <c r="E69">
        <f t="shared" si="21"/>
        <v>2307</v>
      </c>
      <c r="G69">
        <f t="shared" si="1"/>
        <v>39101.694915254237</v>
      </c>
      <c r="H69">
        <f t="shared" si="2"/>
        <v>39.101694915254235</v>
      </c>
      <c r="I69">
        <f t="shared" si="16"/>
        <v>698.24455205811137</v>
      </c>
      <c r="J69">
        <f t="shared" si="17"/>
        <v>698244.55205811141</v>
      </c>
      <c r="K69">
        <f t="shared" si="18"/>
        <v>698.24455205811137</v>
      </c>
    </row>
    <row r="70" spans="1:11">
      <c r="G70">
        <f t="shared" si="1"/>
        <v>0</v>
      </c>
      <c r="H70">
        <f t="shared" si="2"/>
        <v>0</v>
      </c>
      <c r="I70">
        <f t="shared" si="16"/>
        <v>0</v>
      </c>
      <c r="J70">
        <f t="shared" si="17"/>
        <v>0</v>
      </c>
      <c r="K70">
        <f t="shared" si="18"/>
        <v>0</v>
      </c>
    </row>
    <row r="71" spans="1:11">
      <c r="A71" s="1">
        <v>40249</v>
      </c>
      <c r="B71" t="s">
        <v>11</v>
      </c>
      <c r="C71">
        <v>0.96</v>
      </c>
      <c r="D71">
        <f>C71-C75</f>
        <v>0.57999999999999996</v>
      </c>
      <c r="E71">
        <f>(D71-0.1648)/0.0007</f>
        <v>593.14285714285711</v>
      </c>
      <c r="G71">
        <f t="shared" si="1"/>
        <v>10053.268765133171</v>
      </c>
      <c r="H71">
        <f t="shared" si="2"/>
        <v>10.05326876513317</v>
      </c>
      <c r="I71">
        <f t="shared" si="16"/>
        <v>179.52265652023519</v>
      </c>
      <c r="J71">
        <f t="shared" si="17"/>
        <v>179522.65652023518</v>
      </c>
      <c r="K71" s="7">
        <f t="shared" si="18"/>
        <v>179.52265652023519</v>
      </c>
    </row>
    <row r="72" spans="1:11">
      <c r="A72" t="s">
        <v>10</v>
      </c>
      <c r="B72" t="s">
        <v>12</v>
      </c>
      <c r="C72">
        <v>1.2</v>
      </c>
      <c r="E72">
        <f t="shared" ref="E72:E76" si="22">(C72-0.1648)/0.0007</f>
        <v>1478.8571428571427</v>
      </c>
      <c r="G72">
        <f t="shared" si="1"/>
        <v>25065.375302663433</v>
      </c>
      <c r="H72">
        <f t="shared" si="2"/>
        <v>25.065375302663433</v>
      </c>
      <c r="I72">
        <f t="shared" si="16"/>
        <v>447.59598754756132</v>
      </c>
      <c r="J72">
        <f t="shared" si="17"/>
        <v>447595.98754756129</v>
      </c>
      <c r="K72">
        <f t="shared" si="18"/>
        <v>447.59598754756132</v>
      </c>
    </row>
    <row r="73" spans="1:11">
      <c r="B73" t="s">
        <v>13</v>
      </c>
      <c r="C73">
        <v>1.2</v>
      </c>
      <c r="D73">
        <f>C73-C75</f>
        <v>0.82</v>
      </c>
      <c r="E73">
        <f>(D73-0.1648)/0.0007</f>
        <v>936</v>
      </c>
      <c r="G73">
        <f t="shared" si="1"/>
        <v>15864.406779661016</v>
      </c>
      <c r="H73">
        <f t="shared" si="2"/>
        <v>15.864406779661016</v>
      </c>
      <c r="I73">
        <f t="shared" si="16"/>
        <v>283.2929782082324</v>
      </c>
      <c r="J73">
        <f t="shared" si="17"/>
        <v>283292.97820823238</v>
      </c>
      <c r="K73" s="7">
        <f t="shared" si="18"/>
        <v>283.2929782082324</v>
      </c>
    </row>
    <row r="74" spans="1:11">
      <c r="B74" t="s">
        <v>14</v>
      </c>
      <c r="C74">
        <v>1</v>
      </c>
      <c r="E74">
        <f t="shared" si="22"/>
        <v>1193.1428571428571</v>
      </c>
      <c r="G74">
        <f t="shared" si="1"/>
        <v>20222.7602905569</v>
      </c>
      <c r="H74">
        <f t="shared" si="2"/>
        <v>20.222760290556899</v>
      </c>
      <c r="I74">
        <f t="shared" si="16"/>
        <v>361.12071947423033</v>
      </c>
      <c r="J74">
        <f t="shared" si="17"/>
        <v>361120.71947423031</v>
      </c>
      <c r="K74">
        <f t="shared" si="18"/>
        <v>361.12071947423033</v>
      </c>
    </row>
    <row r="75" spans="1:11">
      <c r="B75" t="s">
        <v>15</v>
      </c>
      <c r="C75">
        <v>0.38</v>
      </c>
      <c r="E75">
        <f t="shared" si="22"/>
        <v>307.42857142857144</v>
      </c>
      <c r="G75">
        <f t="shared" si="1"/>
        <v>5210.6537530266341</v>
      </c>
      <c r="H75">
        <f t="shared" si="2"/>
        <v>5.2106537530266346</v>
      </c>
      <c r="I75">
        <f t="shared" si="16"/>
        <v>93.047388446904193</v>
      </c>
      <c r="J75">
        <f t="shared" si="17"/>
        <v>93047.388446904195</v>
      </c>
      <c r="K75">
        <f t="shared" si="18"/>
        <v>93.047388446904193</v>
      </c>
    </row>
    <row r="76" spans="1:11">
      <c r="B76" t="s">
        <v>9</v>
      </c>
      <c r="C76">
        <v>0.95</v>
      </c>
      <c r="E76">
        <f t="shared" si="22"/>
        <v>1121.7142857142856</v>
      </c>
      <c r="G76">
        <f t="shared" si="1"/>
        <v>19012.106537530261</v>
      </c>
      <c r="H76">
        <f t="shared" si="2"/>
        <v>19.012106537530261</v>
      </c>
      <c r="I76">
        <f t="shared" si="16"/>
        <v>339.50190245589749</v>
      </c>
      <c r="J76">
        <f t="shared" si="17"/>
        <v>339501.90245589748</v>
      </c>
      <c r="K76">
        <f t="shared" si="18"/>
        <v>339.50190245589749</v>
      </c>
    </row>
    <row r="77" spans="1:11">
      <c r="G77">
        <f t="shared" si="1"/>
        <v>0</v>
      </c>
      <c r="H77">
        <f t="shared" si="2"/>
        <v>0</v>
      </c>
      <c r="I77">
        <f t="shared" si="16"/>
        <v>0</v>
      </c>
      <c r="J77">
        <f t="shared" si="17"/>
        <v>0</v>
      </c>
      <c r="K77">
        <f t="shared" si="18"/>
        <v>0</v>
      </c>
    </row>
    <row r="78" spans="1:11">
      <c r="A78" s="1">
        <v>40260</v>
      </c>
      <c r="B78" t="s">
        <v>17</v>
      </c>
      <c r="C78">
        <v>0.04</v>
      </c>
      <c r="D78">
        <f>C78-C80</f>
        <v>0.33999999999999997</v>
      </c>
      <c r="E78">
        <f>(D78-0.1512)/0.0006</f>
        <v>314.66666666666663</v>
      </c>
      <c r="G78">
        <f t="shared" si="1"/>
        <v>5333.333333333333</v>
      </c>
      <c r="H78">
        <f t="shared" si="2"/>
        <v>5.333333333333333</v>
      </c>
      <c r="I78">
        <f t="shared" si="16"/>
        <v>95.238095238095227</v>
      </c>
      <c r="J78">
        <f t="shared" si="17"/>
        <v>95238.095238095222</v>
      </c>
      <c r="K78" s="7">
        <f t="shared" si="18"/>
        <v>95.238095238095227</v>
      </c>
    </row>
    <row r="79" spans="1:11">
      <c r="A79" t="s">
        <v>16</v>
      </c>
      <c r="B79" t="s">
        <v>18</v>
      </c>
      <c r="C79">
        <v>0.04</v>
      </c>
      <c r="E79">
        <f t="shared" ref="E79:E81" si="23">(C79-0.1512)/0.0006</f>
        <v>-185.33333333333334</v>
      </c>
      <c r="G79">
        <f t="shared" si="1"/>
        <v>-3141.2429378531078</v>
      </c>
      <c r="H79">
        <f t="shared" si="2"/>
        <v>-3.1412429378531077</v>
      </c>
      <c r="I79">
        <f t="shared" si="16"/>
        <v>-56.093623890234063</v>
      </c>
      <c r="J79">
        <f t="shared" si="17"/>
        <v>-56093.623890234063</v>
      </c>
      <c r="K79">
        <f t="shared" si="18"/>
        <v>-56.093623890234063</v>
      </c>
    </row>
    <row r="80" spans="1:11">
      <c r="B80" t="s">
        <v>15</v>
      </c>
      <c r="C80">
        <v>-0.3</v>
      </c>
      <c r="E80">
        <f t="shared" si="23"/>
        <v>-752</v>
      </c>
      <c r="G80">
        <f t="shared" si="1"/>
        <v>-12745.762711864407</v>
      </c>
      <c r="H80">
        <f t="shared" si="2"/>
        <v>-12.745762711864407</v>
      </c>
      <c r="I80">
        <f t="shared" si="16"/>
        <v>-227.60290556900725</v>
      </c>
      <c r="J80">
        <f t="shared" si="17"/>
        <v>-227602.90556900724</v>
      </c>
      <c r="K80">
        <f t="shared" si="18"/>
        <v>-227.60290556900725</v>
      </c>
    </row>
    <row r="81" spans="1:11">
      <c r="B81" t="s">
        <v>19</v>
      </c>
      <c r="C81">
        <v>0.1</v>
      </c>
      <c r="E81">
        <f t="shared" si="23"/>
        <v>-85.333333333333329</v>
      </c>
      <c r="G81">
        <f t="shared" si="1"/>
        <v>-1446.3276836158191</v>
      </c>
      <c r="H81">
        <f t="shared" si="2"/>
        <v>-1.446327683615819</v>
      </c>
      <c r="I81">
        <f t="shared" si="16"/>
        <v>-25.827280064568196</v>
      </c>
      <c r="J81">
        <f t="shared" si="17"/>
        <v>-25827.280064568196</v>
      </c>
      <c r="K81">
        <f t="shared" si="18"/>
        <v>-25.827280064568196</v>
      </c>
    </row>
    <row r="82" spans="1:11">
      <c r="G82">
        <f t="shared" si="1"/>
        <v>0</v>
      </c>
      <c r="H82">
        <f t="shared" ref="H82:H142" si="24">G82/1000</f>
        <v>0</v>
      </c>
      <c r="I82">
        <f t="shared" si="16"/>
        <v>0</v>
      </c>
      <c r="J82">
        <f t="shared" si="17"/>
        <v>0</v>
      </c>
      <c r="K82">
        <f t="shared" si="18"/>
        <v>0</v>
      </c>
    </row>
    <row r="83" spans="1:11">
      <c r="B83" t="s">
        <v>20</v>
      </c>
      <c r="C83">
        <v>1.5</v>
      </c>
      <c r="D83">
        <f>C83-C85</f>
        <v>1.1499999999999999</v>
      </c>
      <c r="E83">
        <f>(D83-0.1856)/0.0007</f>
        <v>1377.7142857142856</v>
      </c>
      <c r="G83">
        <f t="shared" ref="G83:G142" si="25">(E83/(5.9*10^13))*(1*10^15)</f>
        <v>23351.089588377723</v>
      </c>
      <c r="H83">
        <f t="shared" si="24"/>
        <v>23.351089588377722</v>
      </c>
      <c r="I83">
        <f t="shared" si="16"/>
        <v>416.98374264960216</v>
      </c>
      <c r="J83">
        <f t="shared" si="17"/>
        <v>416983.74264960218</v>
      </c>
      <c r="K83" s="7">
        <f t="shared" si="18"/>
        <v>416.98374264960216</v>
      </c>
    </row>
    <row r="84" spans="1:11">
      <c r="B84" t="s">
        <v>21</v>
      </c>
      <c r="C84">
        <v>1.5</v>
      </c>
      <c r="E84">
        <f t="shared" ref="E84:E86" si="26">(C84-0.1856)/0.0007</f>
        <v>1877.7142857142858</v>
      </c>
      <c r="G84">
        <f t="shared" si="25"/>
        <v>31825.665859564164</v>
      </c>
      <c r="H84">
        <f t="shared" si="24"/>
        <v>31.825665859564165</v>
      </c>
      <c r="I84">
        <f t="shared" si="16"/>
        <v>568.31546177793155</v>
      </c>
      <c r="J84">
        <f t="shared" si="17"/>
        <v>568315.46177793154</v>
      </c>
      <c r="K84">
        <f t="shared" si="18"/>
        <v>568.31546177793155</v>
      </c>
    </row>
    <row r="85" spans="1:11">
      <c r="B85" t="s">
        <v>104</v>
      </c>
      <c r="C85">
        <v>0.35</v>
      </c>
      <c r="E85">
        <f t="shared" si="26"/>
        <v>234.85714285714283</v>
      </c>
      <c r="G85">
        <f t="shared" si="25"/>
        <v>3980.6295399515734</v>
      </c>
      <c r="H85">
        <f t="shared" si="24"/>
        <v>3.9806295399515732</v>
      </c>
      <c r="I85">
        <f t="shared" si="16"/>
        <v>71.082670356278086</v>
      </c>
      <c r="J85">
        <f t="shared" si="17"/>
        <v>71082.670356278089</v>
      </c>
      <c r="K85">
        <f t="shared" si="18"/>
        <v>71.082670356278086</v>
      </c>
    </row>
    <row r="86" spans="1:11">
      <c r="B86" t="s">
        <v>9</v>
      </c>
      <c r="C86">
        <v>1.04</v>
      </c>
      <c r="E86">
        <f t="shared" si="26"/>
        <v>1220.5714285714287</v>
      </c>
      <c r="G86">
        <f t="shared" si="25"/>
        <v>20687.651331719127</v>
      </c>
      <c r="H86">
        <f t="shared" si="24"/>
        <v>20.687651331719128</v>
      </c>
      <c r="I86">
        <f t="shared" si="16"/>
        <v>369.42234520927013</v>
      </c>
      <c r="J86">
        <f t="shared" si="17"/>
        <v>369422.34520927013</v>
      </c>
      <c r="K86">
        <f t="shared" si="18"/>
        <v>369.42234520927013</v>
      </c>
    </row>
    <row r="87" spans="1:11">
      <c r="G87">
        <f t="shared" si="25"/>
        <v>0</v>
      </c>
      <c r="H87">
        <f t="shared" si="24"/>
        <v>0</v>
      </c>
      <c r="I87">
        <f t="shared" si="16"/>
        <v>0</v>
      </c>
      <c r="J87">
        <f t="shared" si="17"/>
        <v>0</v>
      </c>
      <c r="K87">
        <f t="shared" si="18"/>
        <v>0</v>
      </c>
    </row>
    <row r="88" spans="1:11">
      <c r="B88" t="s">
        <v>25</v>
      </c>
      <c r="G88">
        <f t="shared" si="25"/>
        <v>0</v>
      </c>
      <c r="H88">
        <f t="shared" si="24"/>
        <v>0</v>
      </c>
      <c r="I88">
        <f t="shared" si="16"/>
        <v>0</v>
      </c>
      <c r="J88">
        <f t="shared" si="17"/>
        <v>0</v>
      </c>
      <c r="K88">
        <f t="shared" si="18"/>
        <v>0</v>
      </c>
    </row>
    <row r="89" spans="1:11">
      <c r="A89" s="1">
        <v>40261</v>
      </c>
      <c r="B89" t="s">
        <v>24</v>
      </c>
      <c r="C89">
        <v>0.51</v>
      </c>
      <c r="D89">
        <f>C89-C91</f>
        <v>0.22999999999999998</v>
      </c>
      <c r="E89">
        <f>(D89-0.1617)/0.0004</f>
        <v>170.74999999999991</v>
      </c>
      <c r="G89">
        <f t="shared" si="25"/>
        <v>2894.067796610168</v>
      </c>
      <c r="H89">
        <f t="shared" si="24"/>
        <v>2.8940677966101678</v>
      </c>
      <c r="I89">
        <f t="shared" si="16"/>
        <v>51.679782082324422</v>
      </c>
      <c r="J89">
        <f t="shared" si="17"/>
        <v>51679.782082324426</v>
      </c>
      <c r="K89" s="7">
        <f t="shared" si="18"/>
        <v>51.679782082324422</v>
      </c>
    </row>
    <row r="90" spans="1:11">
      <c r="A90" t="s">
        <v>22</v>
      </c>
      <c r="B90" t="s">
        <v>23</v>
      </c>
      <c r="C90">
        <v>0.88</v>
      </c>
      <c r="E90">
        <f t="shared" ref="E90:E103" si="27">(C90-0.1617)/0.0004</f>
        <v>1795.7499999999998</v>
      </c>
      <c r="G90">
        <f t="shared" si="25"/>
        <v>30436.440677966097</v>
      </c>
      <c r="H90">
        <f t="shared" si="24"/>
        <v>30.436440677966097</v>
      </c>
      <c r="I90">
        <f t="shared" si="16"/>
        <v>543.50786924939462</v>
      </c>
      <c r="J90">
        <f t="shared" si="17"/>
        <v>543507.86924939463</v>
      </c>
      <c r="K90">
        <f t="shared" si="18"/>
        <v>543.50786924939462</v>
      </c>
    </row>
    <row r="91" spans="1:11">
      <c r="B91" t="s">
        <v>104</v>
      </c>
      <c r="C91">
        <v>0.28000000000000003</v>
      </c>
      <c r="E91">
        <f t="shared" si="27"/>
        <v>295.75</v>
      </c>
      <c r="G91">
        <f t="shared" si="25"/>
        <v>5012.7118644067796</v>
      </c>
      <c r="H91">
        <f t="shared" si="24"/>
        <v>5.0127118644067794</v>
      </c>
      <c r="I91">
        <f t="shared" si="16"/>
        <v>89.512711864406768</v>
      </c>
      <c r="J91">
        <f t="shared" si="17"/>
        <v>89512.711864406767</v>
      </c>
      <c r="K91">
        <f t="shared" si="18"/>
        <v>89.512711864406768</v>
      </c>
    </row>
    <row r="92" spans="1:11">
      <c r="B92" t="s">
        <v>9</v>
      </c>
      <c r="C92">
        <v>1</v>
      </c>
      <c r="E92">
        <f t="shared" si="27"/>
        <v>2095.75</v>
      </c>
      <c r="G92">
        <f t="shared" si="25"/>
        <v>35521.186440677964</v>
      </c>
      <c r="H92">
        <f t="shared" si="24"/>
        <v>35.521186440677965</v>
      </c>
      <c r="I92">
        <f t="shared" si="16"/>
        <v>634.3069007263922</v>
      </c>
      <c r="J92">
        <f t="shared" si="17"/>
        <v>634306.90072639217</v>
      </c>
      <c r="K92">
        <f t="shared" si="18"/>
        <v>634.3069007263922</v>
      </c>
    </row>
    <row r="94" spans="1:11">
      <c r="B94" t="s">
        <v>26</v>
      </c>
      <c r="C94">
        <v>0.31</v>
      </c>
      <c r="D94">
        <f>C94-C96</f>
        <v>3.999999999999998E-2</v>
      </c>
      <c r="E94">
        <f>(D94-0.1617)/0.0004</f>
        <v>-304.25000000000006</v>
      </c>
      <c r="G94">
        <f t="shared" si="25"/>
        <v>-5156.7796610169498</v>
      </c>
      <c r="H94">
        <f t="shared" si="24"/>
        <v>-5.1567796610169498</v>
      </c>
      <c r="I94">
        <f t="shared" si="16"/>
        <v>-92.085351089588386</v>
      </c>
      <c r="J94">
        <f t="shared" si="17"/>
        <v>-92085.351089588381</v>
      </c>
      <c r="K94" s="7">
        <f t="shared" si="18"/>
        <v>-92.085351089588386</v>
      </c>
    </row>
    <row r="95" spans="1:11">
      <c r="B95" t="s">
        <v>27</v>
      </c>
      <c r="C95">
        <v>1.02</v>
      </c>
      <c r="E95">
        <f t="shared" si="27"/>
        <v>2145.75</v>
      </c>
      <c r="G95">
        <f t="shared" si="25"/>
        <v>36368.644067796609</v>
      </c>
      <c r="H95">
        <f t="shared" si="24"/>
        <v>36.368644067796609</v>
      </c>
      <c r="I95">
        <f t="shared" si="16"/>
        <v>649.44007263922515</v>
      </c>
      <c r="J95">
        <f t="shared" si="17"/>
        <v>649440.07263922517</v>
      </c>
      <c r="K95">
        <f t="shared" si="18"/>
        <v>649.44007263922515</v>
      </c>
    </row>
    <row r="96" spans="1:11">
      <c r="B96" t="s">
        <v>104</v>
      </c>
      <c r="C96">
        <v>0.27</v>
      </c>
      <c r="E96">
        <f t="shared" si="27"/>
        <v>270.75</v>
      </c>
      <c r="G96">
        <f t="shared" si="25"/>
        <v>4588.9830508474579</v>
      </c>
      <c r="H96">
        <f t="shared" si="24"/>
        <v>4.5889830508474576</v>
      </c>
      <c r="I96">
        <f t="shared" si="16"/>
        <v>81.946125907990307</v>
      </c>
      <c r="J96">
        <f t="shared" si="17"/>
        <v>81946.12590799031</v>
      </c>
      <c r="K96">
        <f t="shared" si="18"/>
        <v>81.946125907990307</v>
      </c>
    </row>
    <row r="97" spans="1:11">
      <c r="B97" t="s">
        <v>9</v>
      </c>
      <c r="C97">
        <v>1.03</v>
      </c>
      <c r="E97">
        <f t="shared" si="27"/>
        <v>2170.75</v>
      </c>
      <c r="G97">
        <f t="shared" si="25"/>
        <v>36792.372881355928</v>
      </c>
      <c r="H97">
        <f t="shared" si="24"/>
        <v>36.792372881355931</v>
      </c>
      <c r="I97">
        <f t="shared" si="16"/>
        <v>657.00665859564162</v>
      </c>
      <c r="J97">
        <f t="shared" si="17"/>
        <v>657006.65859564161</v>
      </c>
      <c r="K97">
        <f t="shared" si="18"/>
        <v>657.00665859564162</v>
      </c>
    </row>
    <row r="99" spans="1:11">
      <c r="B99" t="s">
        <v>29</v>
      </c>
    </row>
    <row r="100" spans="1:11">
      <c r="B100" t="s">
        <v>30</v>
      </c>
      <c r="C100">
        <v>0.99</v>
      </c>
      <c r="D100">
        <f>C100-C102</f>
        <v>0.8</v>
      </c>
      <c r="E100">
        <f>(D100-0.1617)/0.0004</f>
        <v>1595.7500000000002</v>
      </c>
      <c r="G100">
        <f t="shared" si="25"/>
        <v>27046.610169491527</v>
      </c>
      <c r="H100">
        <f t="shared" si="24"/>
        <v>27.046610169491526</v>
      </c>
      <c r="I100">
        <f t="shared" si="16"/>
        <v>482.97518159806293</v>
      </c>
      <c r="J100">
        <f t="shared" si="17"/>
        <v>482975.18159806292</v>
      </c>
      <c r="K100" s="7">
        <f t="shared" si="18"/>
        <v>482.97518159806293</v>
      </c>
    </row>
    <row r="101" spans="1:11">
      <c r="B101" t="s">
        <v>31</v>
      </c>
      <c r="C101">
        <v>0.83</v>
      </c>
      <c r="E101">
        <f t="shared" si="27"/>
        <v>1670.7499999999995</v>
      </c>
      <c r="G101">
        <f t="shared" si="25"/>
        <v>28317.796610169484</v>
      </c>
      <c r="H101">
        <f t="shared" si="24"/>
        <v>28.317796610169484</v>
      </c>
      <c r="I101">
        <f t="shared" si="16"/>
        <v>505.67493946731219</v>
      </c>
      <c r="J101">
        <f t="shared" si="17"/>
        <v>505674.93946731219</v>
      </c>
      <c r="K101">
        <f t="shared" si="18"/>
        <v>505.67493946731219</v>
      </c>
    </row>
    <row r="102" spans="1:11">
      <c r="B102" t="s">
        <v>104</v>
      </c>
      <c r="C102">
        <v>0.19</v>
      </c>
      <c r="E102">
        <f t="shared" si="27"/>
        <v>70.749999999999972</v>
      </c>
      <c r="G102">
        <f t="shared" si="25"/>
        <v>1199.1525423728808</v>
      </c>
      <c r="H102">
        <f t="shared" si="24"/>
        <v>1.1991525423728808</v>
      </c>
      <c r="I102">
        <f t="shared" si="16"/>
        <v>21.413438256658587</v>
      </c>
      <c r="J102">
        <f t="shared" si="17"/>
        <v>21413.438256658588</v>
      </c>
      <c r="K102">
        <f t="shared" si="18"/>
        <v>21.413438256658587</v>
      </c>
    </row>
    <row r="103" spans="1:11">
      <c r="B103" t="s">
        <v>32</v>
      </c>
      <c r="C103">
        <v>1</v>
      </c>
      <c r="E103">
        <f t="shared" si="27"/>
        <v>2095.75</v>
      </c>
      <c r="G103">
        <f t="shared" si="25"/>
        <v>35521.186440677964</v>
      </c>
      <c r="H103">
        <f t="shared" si="24"/>
        <v>35.521186440677965</v>
      </c>
      <c r="I103">
        <f t="shared" si="16"/>
        <v>634.3069007263922</v>
      </c>
      <c r="J103">
        <f t="shared" si="17"/>
        <v>634306.90072639217</v>
      </c>
      <c r="K103">
        <f t="shared" si="18"/>
        <v>634.3069007263922</v>
      </c>
    </row>
    <row r="104" spans="1:11">
      <c r="G104">
        <f t="shared" si="25"/>
        <v>0</v>
      </c>
      <c r="H104">
        <f t="shared" si="24"/>
        <v>0</v>
      </c>
      <c r="I104">
        <f t="shared" si="16"/>
        <v>0</v>
      </c>
      <c r="J104">
        <f t="shared" si="17"/>
        <v>0</v>
      </c>
      <c r="K104">
        <f t="shared" si="18"/>
        <v>0</v>
      </c>
    </row>
    <row r="105" spans="1:11">
      <c r="A105" s="1">
        <v>40262</v>
      </c>
      <c r="B105" t="s">
        <v>33</v>
      </c>
      <c r="G105">
        <f t="shared" si="25"/>
        <v>0</v>
      </c>
      <c r="H105">
        <f t="shared" si="24"/>
        <v>0</v>
      </c>
      <c r="I105">
        <f t="shared" si="16"/>
        <v>0</v>
      </c>
      <c r="J105">
        <f t="shared" si="17"/>
        <v>0</v>
      </c>
      <c r="K105">
        <f t="shared" si="18"/>
        <v>0</v>
      </c>
    </row>
    <row r="106" spans="1:11">
      <c r="A106" t="s">
        <v>34</v>
      </c>
      <c r="B106" t="s">
        <v>35</v>
      </c>
      <c r="C106">
        <v>0.69</v>
      </c>
      <c r="D106">
        <f>C106-C108</f>
        <v>0.57999999999999996</v>
      </c>
      <c r="E106">
        <f>(D106-0.162)/0.0004</f>
        <v>1044.9999999999998</v>
      </c>
      <c r="G106">
        <f t="shared" si="25"/>
        <v>17711.864406779656</v>
      </c>
      <c r="H106">
        <f t="shared" si="24"/>
        <v>17.711864406779657</v>
      </c>
      <c r="I106">
        <f t="shared" si="16"/>
        <v>316.28329297820818</v>
      </c>
      <c r="J106">
        <f t="shared" si="17"/>
        <v>316283.29297820816</v>
      </c>
      <c r="K106" s="7">
        <f t="shared" si="18"/>
        <v>316.28329297820818</v>
      </c>
    </row>
    <row r="107" spans="1:11">
      <c r="B107" t="s">
        <v>36</v>
      </c>
      <c r="C107">
        <v>0.69</v>
      </c>
      <c r="E107">
        <f t="shared" ref="E107:E109" si="28">(C107-0.162)/0.0004</f>
        <v>1319.9999999999998</v>
      </c>
      <c r="G107">
        <f t="shared" si="25"/>
        <v>22372.881355932201</v>
      </c>
      <c r="H107">
        <f t="shared" si="24"/>
        <v>22.372881355932201</v>
      </c>
      <c r="I107">
        <f t="shared" si="16"/>
        <v>399.51573849878929</v>
      </c>
      <c r="J107">
        <f t="shared" si="17"/>
        <v>399515.73849878932</v>
      </c>
      <c r="K107">
        <f t="shared" si="18"/>
        <v>399.51573849878929</v>
      </c>
    </row>
    <row r="108" spans="1:11">
      <c r="B108" t="s">
        <v>15</v>
      </c>
      <c r="C108">
        <v>0.11</v>
      </c>
      <c r="E108">
        <f t="shared" si="28"/>
        <v>-130</v>
      </c>
      <c r="G108">
        <f t="shared" si="25"/>
        <v>-2203.3898305084745</v>
      </c>
      <c r="H108">
        <f t="shared" si="24"/>
        <v>-2.2033898305084745</v>
      </c>
      <c r="I108">
        <f t="shared" si="16"/>
        <v>-39.346246973365616</v>
      </c>
      <c r="J108">
        <f t="shared" si="17"/>
        <v>-39346.246973365618</v>
      </c>
      <c r="K108">
        <f t="shared" si="18"/>
        <v>-39.346246973365616</v>
      </c>
    </row>
    <row r="109" spans="1:11">
      <c r="B109" t="s">
        <v>38</v>
      </c>
      <c r="C109">
        <v>0.94</v>
      </c>
      <c r="E109">
        <f t="shared" si="28"/>
        <v>1944.9999999999998</v>
      </c>
      <c r="G109">
        <f t="shared" si="25"/>
        <v>32966.101694915247</v>
      </c>
      <c r="H109">
        <f t="shared" si="24"/>
        <v>32.966101694915245</v>
      </c>
      <c r="I109">
        <f t="shared" si="16"/>
        <v>588.68038740920076</v>
      </c>
      <c r="J109">
        <f t="shared" si="17"/>
        <v>588680.38740920078</v>
      </c>
      <c r="K109">
        <f t="shared" si="18"/>
        <v>588.68038740920076</v>
      </c>
    </row>
    <row r="110" spans="1:11">
      <c r="G110">
        <f t="shared" si="25"/>
        <v>0</v>
      </c>
      <c r="H110">
        <f t="shared" si="24"/>
        <v>0</v>
      </c>
      <c r="I110">
        <f t="shared" si="16"/>
        <v>0</v>
      </c>
      <c r="J110">
        <f t="shared" si="17"/>
        <v>0</v>
      </c>
      <c r="K110">
        <f t="shared" si="18"/>
        <v>0</v>
      </c>
    </row>
    <row r="111" spans="1:11">
      <c r="B111" t="s">
        <v>39</v>
      </c>
      <c r="C111">
        <v>0.71</v>
      </c>
      <c r="D111">
        <f>C111-C113</f>
        <v>0.61</v>
      </c>
      <c r="E111">
        <f>(D111-0.1154)/0.0007</f>
        <v>706.57142857142856</v>
      </c>
      <c r="G111">
        <f t="shared" si="25"/>
        <v>11975.786924939468</v>
      </c>
      <c r="H111">
        <f t="shared" si="24"/>
        <v>11.975786924939468</v>
      </c>
      <c r="I111">
        <f t="shared" si="16"/>
        <v>213.85333794534765</v>
      </c>
      <c r="J111">
        <f t="shared" si="17"/>
        <v>213853.33794534765</v>
      </c>
      <c r="K111" s="7">
        <f t="shared" si="18"/>
        <v>213.85333794534765</v>
      </c>
    </row>
    <row r="112" spans="1:11">
      <c r="B112" t="s">
        <v>40</v>
      </c>
      <c r="C112">
        <v>1.1299999999999999</v>
      </c>
      <c r="E112">
        <f t="shared" ref="E112:E114" si="29">(C112-0.1154)/0.0007</f>
        <v>1449.4285714285713</v>
      </c>
      <c r="G112">
        <f t="shared" si="25"/>
        <v>24566.585956416464</v>
      </c>
      <c r="H112">
        <f t="shared" si="24"/>
        <v>24.566585956416464</v>
      </c>
      <c r="I112">
        <f t="shared" si="16"/>
        <v>438.68903493600828</v>
      </c>
      <c r="J112">
        <f t="shared" si="17"/>
        <v>438689.03493600828</v>
      </c>
      <c r="K112">
        <f t="shared" si="18"/>
        <v>438.68903493600828</v>
      </c>
    </row>
    <row r="113" spans="1:11">
      <c r="B113" t="s">
        <v>15</v>
      </c>
      <c r="C113">
        <v>0.1</v>
      </c>
      <c r="E113">
        <f t="shared" si="29"/>
        <v>-21.999999999999996</v>
      </c>
      <c r="G113">
        <f t="shared" si="25"/>
        <v>-372.88135593220329</v>
      </c>
      <c r="H113">
        <f t="shared" si="24"/>
        <v>-0.37288135593220328</v>
      </c>
      <c r="I113">
        <f t="shared" si="16"/>
        <v>-6.6585956416464871</v>
      </c>
      <c r="J113">
        <f t="shared" si="17"/>
        <v>-6658.5956416464869</v>
      </c>
      <c r="K113">
        <f t="shared" si="18"/>
        <v>-6.6585956416464871</v>
      </c>
    </row>
    <row r="114" spans="1:11">
      <c r="B114" t="s">
        <v>19</v>
      </c>
      <c r="C114">
        <v>1</v>
      </c>
      <c r="E114">
        <f t="shared" si="29"/>
        <v>1263.7142857142858</v>
      </c>
      <c r="G114">
        <f t="shared" si="25"/>
        <v>21418.886198547218</v>
      </c>
      <c r="H114">
        <f t="shared" si="24"/>
        <v>21.418886198547217</v>
      </c>
      <c r="I114">
        <f t="shared" ref="I114:I142" si="30">H114/0.056</f>
        <v>382.48011068834313</v>
      </c>
      <c r="J114">
        <f t="shared" ref="J114:J142" si="31">I114*1000</f>
        <v>382480.11068834312</v>
      </c>
      <c r="K114">
        <f t="shared" ref="K114:K142" si="32">J114/1000</f>
        <v>382.48011068834313</v>
      </c>
    </row>
    <row r="115" spans="1:11">
      <c r="G115">
        <f t="shared" si="25"/>
        <v>0</v>
      </c>
      <c r="H115">
        <f t="shared" si="24"/>
        <v>0</v>
      </c>
      <c r="I115">
        <f t="shared" si="30"/>
        <v>0</v>
      </c>
      <c r="J115">
        <f t="shared" si="31"/>
        <v>0</v>
      </c>
      <c r="K115">
        <f t="shared" si="32"/>
        <v>0</v>
      </c>
    </row>
    <row r="116" spans="1:11">
      <c r="A116" s="1">
        <v>40263</v>
      </c>
      <c r="B116" t="s">
        <v>42</v>
      </c>
      <c r="G116">
        <f t="shared" si="25"/>
        <v>0</v>
      </c>
      <c r="H116">
        <f t="shared" si="24"/>
        <v>0</v>
      </c>
      <c r="I116">
        <f t="shared" si="30"/>
        <v>0</v>
      </c>
      <c r="J116">
        <f t="shared" si="31"/>
        <v>0</v>
      </c>
      <c r="K116">
        <f t="shared" si="32"/>
        <v>0</v>
      </c>
    </row>
    <row r="117" spans="1:11">
      <c r="A117" t="s">
        <v>41</v>
      </c>
      <c r="B117" t="s">
        <v>43</v>
      </c>
      <c r="C117">
        <v>0.37</v>
      </c>
      <c r="D117">
        <f>C117-C119</f>
        <v>0.22</v>
      </c>
      <c r="E117">
        <f>(D117-0.1284)/0.0006</f>
        <v>152.66666666666671</v>
      </c>
      <c r="G117">
        <f t="shared" si="25"/>
        <v>2587.5706214689276</v>
      </c>
      <c r="H117">
        <f t="shared" si="24"/>
        <v>2.5875706214689278</v>
      </c>
      <c r="I117">
        <f t="shared" si="30"/>
        <v>46.206618240516569</v>
      </c>
      <c r="J117">
        <f t="shared" si="31"/>
        <v>46206.618240516567</v>
      </c>
      <c r="K117" s="7">
        <f t="shared" si="32"/>
        <v>46.206618240516569</v>
      </c>
    </row>
    <row r="118" spans="1:11">
      <c r="B118" t="s">
        <v>44</v>
      </c>
      <c r="C118">
        <v>0.65</v>
      </c>
      <c r="E118">
        <f t="shared" ref="E118:E130" si="33">(C118-0.1284)/0.0006</f>
        <v>869.33333333333348</v>
      </c>
      <c r="G118">
        <f t="shared" si="25"/>
        <v>14734.463276836159</v>
      </c>
      <c r="H118">
        <f t="shared" si="24"/>
        <v>14.734463276836159</v>
      </c>
      <c r="I118">
        <f t="shared" si="30"/>
        <v>263.11541565778856</v>
      </c>
      <c r="J118">
        <f t="shared" si="31"/>
        <v>263115.41565778857</v>
      </c>
      <c r="K118">
        <f t="shared" si="32"/>
        <v>263.11541565778856</v>
      </c>
    </row>
    <row r="119" spans="1:11">
      <c r="B119" t="s">
        <v>104</v>
      </c>
      <c r="C119">
        <v>0.15</v>
      </c>
      <c r="E119">
        <f t="shared" si="33"/>
        <v>36.000000000000014</v>
      </c>
      <c r="G119">
        <f t="shared" si="25"/>
        <v>610.16949152542395</v>
      </c>
      <c r="H119">
        <f t="shared" si="24"/>
        <v>0.61016949152542399</v>
      </c>
      <c r="I119">
        <f t="shared" si="30"/>
        <v>10.895883777239714</v>
      </c>
      <c r="J119">
        <f t="shared" si="31"/>
        <v>10895.883777239715</v>
      </c>
      <c r="K119">
        <f t="shared" si="32"/>
        <v>10.895883777239714</v>
      </c>
    </row>
    <row r="120" spans="1:11">
      <c r="B120" t="s">
        <v>9</v>
      </c>
      <c r="C120">
        <v>0.9</v>
      </c>
      <c r="E120">
        <f t="shared" si="33"/>
        <v>1286.0000000000002</v>
      </c>
      <c r="G120">
        <f t="shared" si="25"/>
        <v>21796.610169491531</v>
      </c>
      <c r="H120">
        <f t="shared" si="24"/>
        <v>21.79661016949153</v>
      </c>
      <c r="I120">
        <f t="shared" si="30"/>
        <v>389.22518159806305</v>
      </c>
      <c r="J120">
        <f t="shared" si="31"/>
        <v>389225.18159806303</v>
      </c>
      <c r="K120">
        <f t="shared" si="32"/>
        <v>389.22518159806305</v>
      </c>
    </row>
    <row r="121" spans="1:11">
      <c r="G121">
        <f t="shared" si="25"/>
        <v>0</v>
      </c>
      <c r="H121">
        <f t="shared" si="24"/>
        <v>0</v>
      </c>
      <c r="I121">
        <f t="shared" si="30"/>
        <v>0</v>
      </c>
      <c r="J121">
        <f t="shared" si="31"/>
        <v>0</v>
      </c>
      <c r="K121">
        <f t="shared" si="32"/>
        <v>0</v>
      </c>
    </row>
    <row r="122" spans="1:11">
      <c r="B122" t="s">
        <v>45</v>
      </c>
      <c r="C122">
        <v>0.62</v>
      </c>
      <c r="D122">
        <f>C122-C124</f>
        <v>0.45999999999999996</v>
      </c>
      <c r="E122">
        <f>(D122-0.1594)/ 0.0007</f>
        <v>429.42857142857139</v>
      </c>
      <c r="G122">
        <f t="shared" si="25"/>
        <v>7278.4503631961252</v>
      </c>
      <c r="H122">
        <f t="shared" si="24"/>
        <v>7.278450363196125</v>
      </c>
      <c r="I122">
        <f t="shared" si="30"/>
        <v>129.97232791421652</v>
      </c>
      <c r="J122">
        <f t="shared" si="31"/>
        <v>129972.32791421653</v>
      </c>
      <c r="K122" s="7">
        <f t="shared" si="32"/>
        <v>129.97232791421652</v>
      </c>
    </row>
    <row r="123" spans="1:11">
      <c r="B123" t="s">
        <v>46</v>
      </c>
      <c r="C123">
        <v>0.69</v>
      </c>
      <c r="E123">
        <f t="shared" ref="E123:E125" si="34">(C123-0.1594)/ 0.0007</f>
        <v>758</v>
      </c>
      <c r="G123">
        <f t="shared" si="25"/>
        <v>12847.457627118643</v>
      </c>
      <c r="H123">
        <f t="shared" si="24"/>
        <v>12.847457627118644</v>
      </c>
      <c r="I123">
        <f t="shared" si="30"/>
        <v>229.4188861985472</v>
      </c>
      <c r="J123">
        <f t="shared" si="31"/>
        <v>229418.8861985472</v>
      </c>
      <c r="K123">
        <f t="shared" si="32"/>
        <v>229.4188861985472</v>
      </c>
    </row>
    <row r="124" spans="1:11">
      <c r="B124" t="s">
        <v>47</v>
      </c>
      <c r="C124">
        <v>0.16</v>
      </c>
      <c r="E124">
        <f t="shared" si="34"/>
        <v>0.85714285714288174</v>
      </c>
      <c r="G124">
        <f t="shared" si="25"/>
        <v>14.527845036320029</v>
      </c>
      <c r="H124">
        <f t="shared" si="24"/>
        <v>1.452784503632003E-2</v>
      </c>
      <c r="I124">
        <f t="shared" si="30"/>
        <v>0.2594258042200005</v>
      </c>
      <c r="J124">
        <f t="shared" si="31"/>
        <v>259.42580422000049</v>
      </c>
      <c r="K124">
        <f t="shared" si="32"/>
        <v>0.2594258042200005</v>
      </c>
    </row>
    <row r="125" spans="1:11">
      <c r="B125" t="s">
        <v>19</v>
      </c>
      <c r="C125">
        <v>0.86</v>
      </c>
      <c r="E125">
        <f t="shared" si="34"/>
        <v>1000.8571428571429</v>
      </c>
      <c r="G125">
        <f t="shared" si="25"/>
        <v>16963.6803874092</v>
      </c>
      <c r="H125">
        <f t="shared" si="24"/>
        <v>16.963680387409202</v>
      </c>
      <c r="I125">
        <f t="shared" si="30"/>
        <v>302.92286406087862</v>
      </c>
      <c r="J125">
        <f t="shared" si="31"/>
        <v>302922.86406087864</v>
      </c>
      <c r="K125">
        <f t="shared" si="32"/>
        <v>302.92286406087862</v>
      </c>
    </row>
    <row r="127" spans="1:11">
      <c r="A127" t="s">
        <v>113</v>
      </c>
      <c r="B127" t="s">
        <v>111</v>
      </c>
      <c r="C127">
        <v>0.53</v>
      </c>
      <c r="D127">
        <f>C127-C129</f>
        <v>0.38</v>
      </c>
      <c r="E127">
        <f>(D127-0.1284)/0.0006</f>
        <v>419.33333333333343</v>
      </c>
      <c r="G127">
        <f t="shared" si="25"/>
        <v>7107.3446327683632</v>
      </c>
      <c r="H127">
        <f t="shared" si="24"/>
        <v>7.1073446327683634</v>
      </c>
      <c r="I127">
        <f t="shared" si="30"/>
        <v>126.9168684422922</v>
      </c>
      <c r="J127">
        <f t="shared" si="31"/>
        <v>126916.86844229219</v>
      </c>
      <c r="K127" s="7">
        <f t="shared" si="32"/>
        <v>126.9168684422922</v>
      </c>
    </row>
    <row r="128" spans="1:11">
      <c r="B128" t="s">
        <v>112</v>
      </c>
      <c r="C128">
        <v>0.59</v>
      </c>
      <c r="E128">
        <f t="shared" si="33"/>
        <v>769.33333333333337</v>
      </c>
      <c r="G128">
        <f t="shared" si="25"/>
        <v>13039.54802259887</v>
      </c>
      <c r="H128">
        <f t="shared" si="24"/>
        <v>13.03954802259887</v>
      </c>
      <c r="I128">
        <f t="shared" si="30"/>
        <v>232.84907183212269</v>
      </c>
      <c r="J128">
        <f t="shared" si="31"/>
        <v>232849.07183212269</v>
      </c>
      <c r="K128">
        <f t="shared" si="32"/>
        <v>232.84907183212269</v>
      </c>
    </row>
    <row r="129" spans="1:11">
      <c r="B129" t="s">
        <v>104</v>
      </c>
      <c r="C129">
        <v>0.15</v>
      </c>
      <c r="E129">
        <f t="shared" si="33"/>
        <v>36.000000000000014</v>
      </c>
      <c r="G129">
        <f t="shared" si="25"/>
        <v>610.16949152542395</v>
      </c>
      <c r="H129">
        <f t="shared" si="24"/>
        <v>0.61016949152542399</v>
      </c>
      <c r="I129">
        <f t="shared" si="30"/>
        <v>10.895883777239714</v>
      </c>
      <c r="J129">
        <f t="shared" si="31"/>
        <v>10895.883777239715</v>
      </c>
      <c r="K129">
        <f t="shared" si="32"/>
        <v>10.895883777239714</v>
      </c>
    </row>
    <row r="130" spans="1:11">
      <c r="B130" t="s">
        <v>19</v>
      </c>
      <c r="C130">
        <v>0.94</v>
      </c>
      <c r="E130">
        <f t="shared" si="33"/>
        <v>1352.6666666666667</v>
      </c>
      <c r="G130">
        <f t="shared" si="25"/>
        <v>22926.553672316386</v>
      </c>
      <c r="H130">
        <f t="shared" si="24"/>
        <v>22.926553672316388</v>
      </c>
      <c r="I130">
        <f t="shared" si="30"/>
        <v>409.40274414850694</v>
      </c>
      <c r="J130">
        <f t="shared" si="31"/>
        <v>409402.74414850696</v>
      </c>
      <c r="K130">
        <f t="shared" si="32"/>
        <v>409.40274414850694</v>
      </c>
    </row>
    <row r="131" spans="1:11">
      <c r="G131">
        <f t="shared" si="25"/>
        <v>0</v>
      </c>
      <c r="H131">
        <f t="shared" si="24"/>
        <v>0</v>
      </c>
      <c r="I131">
        <f t="shared" si="30"/>
        <v>0</v>
      </c>
      <c r="J131">
        <f t="shared" si="31"/>
        <v>0</v>
      </c>
      <c r="K131">
        <f t="shared" si="32"/>
        <v>0</v>
      </c>
    </row>
    <row r="132" spans="1:11">
      <c r="A132" s="1">
        <v>40264</v>
      </c>
      <c r="B132" t="s">
        <v>115</v>
      </c>
      <c r="C132">
        <v>0.74</v>
      </c>
      <c r="D132">
        <f>C132-C134</f>
        <v>0.56000000000000005</v>
      </c>
      <c r="E132">
        <f>(D132-0.1274)/0.0006</f>
        <v>721.00000000000011</v>
      </c>
      <c r="G132">
        <f t="shared" si="25"/>
        <v>12220.338983050849</v>
      </c>
      <c r="H132">
        <f t="shared" si="24"/>
        <v>12.22033898305085</v>
      </c>
      <c r="I132">
        <f t="shared" si="30"/>
        <v>218.22033898305088</v>
      </c>
      <c r="J132">
        <f t="shared" si="31"/>
        <v>218220.33898305087</v>
      </c>
      <c r="K132" s="7">
        <f t="shared" si="32"/>
        <v>218.22033898305088</v>
      </c>
    </row>
    <row r="133" spans="1:11">
      <c r="A133" t="s">
        <v>114</v>
      </c>
      <c r="B133" t="s">
        <v>116</v>
      </c>
      <c r="C133">
        <v>1.01</v>
      </c>
      <c r="E133">
        <f t="shared" ref="E133:E135" si="35">(C133-0.1274)/0.0006</f>
        <v>1471.0000000000002</v>
      </c>
      <c r="G133">
        <f t="shared" si="25"/>
        <v>24932.203389830513</v>
      </c>
      <c r="H133">
        <f t="shared" si="24"/>
        <v>24.932203389830512</v>
      </c>
      <c r="I133">
        <f t="shared" si="30"/>
        <v>445.21791767554487</v>
      </c>
      <c r="J133">
        <f t="shared" si="31"/>
        <v>445217.91767554486</v>
      </c>
      <c r="K133">
        <f t="shared" si="32"/>
        <v>445.21791767554487</v>
      </c>
    </row>
    <row r="134" spans="1:11">
      <c r="B134" t="s">
        <v>104</v>
      </c>
      <c r="C134">
        <v>0.18</v>
      </c>
      <c r="E134">
        <f t="shared" si="35"/>
        <v>87.666666666666643</v>
      </c>
      <c r="G134">
        <f t="shared" si="25"/>
        <v>1485.8757062146888</v>
      </c>
      <c r="H134">
        <f t="shared" si="24"/>
        <v>1.4858757062146888</v>
      </c>
      <c r="I134">
        <f t="shared" si="30"/>
        <v>26.533494753833729</v>
      </c>
      <c r="J134">
        <f t="shared" si="31"/>
        <v>26533.494753833729</v>
      </c>
      <c r="K134">
        <f t="shared" si="32"/>
        <v>26.533494753833729</v>
      </c>
    </row>
    <row r="135" spans="1:11">
      <c r="B135" t="s">
        <v>117</v>
      </c>
      <c r="C135">
        <v>0.99</v>
      </c>
      <c r="E135">
        <f t="shared" si="35"/>
        <v>1437.6666666666667</v>
      </c>
      <c r="G135">
        <f t="shared" si="25"/>
        <v>24367.231638418081</v>
      </c>
      <c r="H135">
        <f t="shared" si="24"/>
        <v>24.36723163841808</v>
      </c>
      <c r="I135">
        <f t="shared" si="30"/>
        <v>435.12913640032286</v>
      </c>
      <c r="J135">
        <f t="shared" si="31"/>
        <v>435129.13640032284</v>
      </c>
      <c r="K135">
        <f t="shared" si="32"/>
        <v>435.12913640032286</v>
      </c>
    </row>
    <row r="136" spans="1:11">
      <c r="G136">
        <f t="shared" si="25"/>
        <v>0</v>
      </c>
      <c r="H136">
        <f t="shared" si="24"/>
        <v>0</v>
      </c>
      <c r="I136">
        <f t="shared" si="30"/>
        <v>0</v>
      </c>
      <c r="J136">
        <f t="shared" si="31"/>
        <v>0</v>
      </c>
      <c r="K136">
        <f t="shared" si="32"/>
        <v>0</v>
      </c>
    </row>
    <row r="137" spans="1:11">
      <c r="A137" s="1">
        <v>40291</v>
      </c>
      <c r="B137" t="s">
        <v>119</v>
      </c>
      <c r="C137">
        <v>0.31</v>
      </c>
      <c r="D137">
        <f>C137-C141</f>
        <v>0.12</v>
      </c>
      <c r="E137">
        <f>(D137-0.1694)/0.0007</f>
        <v>-70.571428571428569</v>
      </c>
      <c r="G137">
        <f t="shared" si="25"/>
        <v>-1196.1259079903148</v>
      </c>
      <c r="H137">
        <f t="shared" si="24"/>
        <v>-1.1961259079903148</v>
      </c>
      <c r="I137">
        <f t="shared" si="30"/>
        <v>-21.359391214112765</v>
      </c>
      <c r="J137">
        <f t="shared" si="31"/>
        <v>-21359.391214112766</v>
      </c>
      <c r="K137" s="7">
        <f t="shared" si="32"/>
        <v>-21.359391214112765</v>
      </c>
    </row>
    <row r="138" spans="1:11">
      <c r="A138" t="s">
        <v>118</v>
      </c>
      <c r="B138" t="s">
        <v>120</v>
      </c>
      <c r="C138">
        <v>0.86</v>
      </c>
      <c r="E138">
        <f t="shared" ref="E138:E142" si="36">(C138-0.1694)/0.0007</f>
        <v>986.57142857142856</v>
      </c>
      <c r="G138">
        <f t="shared" si="25"/>
        <v>16721.549636803873</v>
      </c>
      <c r="H138">
        <f t="shared" si="24"/>
        <v>16.721549636803871</v>
      </c>
      <c r="I138">
        <f t="shared" si="30"/>
        <v>298.59910065721198</v>
      </c>
      <c r="J138">
        <f t="shared" si="31"/>
        <v>298599.10065721197</v>
      </c>
      <c r="K138">
        <f t="shared" si="32"/>
        <v>298.59910065721198</v>
      </c>
    </row>
    <row r="139" spans="1:11">
      <c r="B139" t="s">
        <v>121</v>
      </c>
      <c r="C139">
        <v>0.36</v>
      </c>
      <c r="D139">
        <f>C139-C141</f>
        <v>0.16999999999999998</v>
      </c>
      <c r="E139">
        <f>(D139-0.1694)/0.0007</f>
        <v>0.85714285714284211</v>
      </c>
      <c r="G139">
        <f t="shared" si="25"/>
        <v>14.527845036319357</v>
      </c>
      <c r="H139">
        <f t="shared" si="24"/>
        <v>1.4527845036319358E-2</v>
      </c>
      <c r="I139">
        <f t="shared" si="30"/>
        <v>0.25942580421998851</v>
      </c>
      <c r="J139">
        <f t="shared" si="31"/>
        <v>259.42580421998849</v>
      </c>
      <c r="K139" s="7">
        <f t="shared" si="32"/>
        <v>0.25942580421998851</v>
      </c>
    </row>
    <row r="140" spans="1:11">
      <c r="A140" t="s">
        <v>123</v>
      </c>
      <c r="B140" t="s">
        <v>122</v>
      </c>
      <c r="C140">
        <v>0.6</v>
      </c>
      <c r="E140">
        <f t="shared" si="36"/>
        <v>615.14285714285711</v>
      </c>
      <c r="G140">
        <f t="shared" si="25"/>
        <v>10426.150121065375</v>
      </c>
      <c r="H140">
        <f t="shared" si="24"/>
        <v>10.426150121065374</v>
      </c>
      <c r="I140">
        <f t="shared" si="30"/>
        <v>186.18125216188167</v>
      </c>
      <c r="J140">
        <f t="shared" si="31"/>
        <v>186181.25216188168</v>
      </c>
      <c r="K140">
        <f t="shared" si="32"/>
        <v>186.18125216188167</v>
      </c>
    </row>
    <row r="141" spans="1:11">
      <c r="B141" t="s">
        <v>104</v>
      </c>
      <c r="C141">
        <v>0.19</v>
      </c>
      <c r="E141">
        <f t="shared" si="36"/>
        <v>29.428571428571438</v>
      </c>
      <c r="G141">
        <f t="shared" si="25"/>
        <v>498.78934624697348</v>
      </c>
      <c r="H141">
        <f t="shared" si="24"/>
        <v>0.49878934624697346</v>
      </c>
      <c r="I141">
        <f t="shared" si="30"/>
        <v>8.9069526115530966</v>
      </c>
      <c r="J141">
        <f t="shared" si="31"/>
        <v>8906.9526115530971</v>
      </c>
      <c r="K141">
        <f t="shared" si="32"/>
        <v>8.9069526115530966</v>
      </c>
    </row>
    <row r="142" spans="1:11">
      <c r="B142" t="s">
        <v>9</v>
      </c>
      <c r="C142">
        <v>0.92</v>
      </c>
      <c r="E142">
        <f t="shared" si="36"/>
        <v>1072.2857142857144</v>
      </c>
      <c r="G142">
        <f t="shared" si="25"/>
        <v>18174.334140435836</v>
      </c>
      <c r="H142">
        <f t="shared" si="24"/>
        <v>18.174334140435835</v>
      </c>
      <c r="I142">
        <f t="shared" si="30"/>
        <v>324.54168107921134</v>
      </c>
      <c r="J142">
        <f t="shared" si="31"/>
        <v>324541.68107921135</v>
      </c>
      <c r="K142">
        <f t="shared" si="32"/>
        <v>324.54168107921134</v>
      </c>
    </row>
    <row r="152" spans="2:13">
      <c r="B152" s="8"/>
      <c r="G152" s="8"/>
      <c r="M152" s="8"/>
    </row>
    <row r="153" spans="2:13">
      <c r="B153" s="8"/>
      <c r="G153" s="8"/>
      <c r="M153" s="8"/>
    </row>
    <row r="154" spans="2:13">
      <c r="B154" s="8"/>
      <c r="G154" s="8"/>
      <c r="M154" s="8"/>
    </row>
    <row r="155" spans="2:13">
      <c r="B155" s="8"/>
      <c r="G155" s="8"/>
      <c r="M155" s="8"/>
    </row>
    <row r="156" spans="2:13">
      <c r="G156" s="8"/>
    </row>
  </sheetData>
  <mergeCells count="1">
    <mergeCell ref="E16:F16"/>
  </mergeCells>
  <phoneticPr fontId="4" type="noConversion"/>
  <printOptions gridLines="1"/>
  <pageMargins left="0.75" right="0.75" top="1" bottom="1" header="0.5" footer="0.5"/>
  <pageSetup scale="52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V158"/>
  <sheetViews>
    <sheetView tabSelected="1" topLeftCell="E90" workbookViewId="0">
      <selection activeCell="N156" sqref="N156"/>
    </sheetView>
  </sheetViews>
  <sheetFormatPr baseColWidth="10" defaultRowHeight="13" x14ac:dyDescent="0"/>
  <cols>
    <col min="2" max="2" width="16.5703125" customWidth="1"/>
    <col min="5" max="5" width="14" customWidth="1"/>
    <col min="9" max="9" width="12.85546875" customWidth="1"/>
    <col min="11" max="11" width="10.7109375" style="19"/>
    <col min="12" max="12" width="14" customWidth="1"/>
    <col min="13" max="13" width="19.28515625" style="13" customWidth="1"/>
    <col min="14" max="14" width="28.140625" customWidth="1"/>
  </cols>
  <sheetData>
    <row r="5" spans="1:22">
      <c r="A5" s="9" t="s">
        <v>0</v>
      </c>
      <c r="B5" s="9" t="s">
        <v>1</v>
      </c>
      <c r="C5" s="9" t="s">
        <v>2</v>
      </c>
      <c r="D5" s="9" t="s">
        <v>2</v>
      </c>
      <c r="E5" s="22" t="s">
        <v>73</v>
      </c>
      <c r="F5" s="22"/>
      <c r="G5" s="9" t="s">
        <v>74</v>
      </c>
      <c r="H5" s="9" t="s">
        <v>75</v>
      </c>
      <c r="I5" s="9" t="s">
        <v>76</v>
      </c>
      <c r="J5" s="9" t="s">
        <v>77</v>
      </c>
      <c r="K5" s="17" t="s">
        <v>3</v>
      </c>
      <c r="L5" s="10" t="s">
        <v>132</v>
      </c>
      <c r="M5" s="12" t="s">
        <v>133</v>
      </c>
      <c r="N5" s="15" t="s">
        <v>142</v>
      </c>
      <c r="O5" s="14" t="s">
        <v>135</v>
      </c>
    </row>
    <row r="6" spans="1:22" ht="15">
      <c r="A6" s="1">
        <v>39875</v>
      </c>
      <c r="B6" t="s">
        <v>80</v>
      </c>
      <c r="C6">
        <v>60.800000000000004</v>
      </c>
      <c r="D6">
        <v>60.800000000000004</v>
      </c>
      <c r="E6">
        <f>(D6-0.3647)/0.0617</f>
        <v>979.50243111831458</v>
      </c>
      <c r="G6">
        <f>(E6/(5.9*10^13))*(1*10^15)</f>
        <v>16601.736120649402</v>
      </c>
      <c r="H6">
        <f>G6/1000</f>
        <v>16.601736120649402</v>
      </c>
      <c r="I6">
        <f>H6/0.056</f>
        <v>296.45957358302502</v>
      </c>
      <c r="J6">
        <f>I6*1000</f>
        <v>296459.57358302502</v>
      </c>
      <c r="K6" s="18">
        <f>J6/1000</f>
        <v>296.45957358302502</v>
      </c>
      <c r="L6" s="11">
        <v>0.2049</v>
      </c>
      <c r="M6" s="13">
        <f>K6/L6</f>
        <v>1446.8500418888484</v>
      </c>
      <c r="O6" s="16" t="s">
        <v>136</v>
      </c>
      <c r="P6" s="16"/>
      <c r="Q6" s="16"/>
      <c r="R6" s="16"/>
      <c r="S6" s="16" t="s">
        <v>141</v>
      </c>
    </row>
    <row r="7" spans="1:22" ht="15">
      <c r="A7" t="s">
        <v>94</v>
      </c>
      <c r="B7" t="s">
        <v>81</v>
      </c>
      <c r="C7">
        <v>122</v>
      </c>
      <c r="D7">
        <v>122</v>
      </c>
      <c r="E7">
        <f t="shared" ref="E7:E9" si="0">(C7-0.3647)/0.0617</f>
        <v>1971.3987034035658</v>
      </c>
      <c r="G7">
        <f t="shared" ref="G7:G71" si="1">(E7/(5.9*10^13))*(1*10^15)</f>
        <v>33413.537345823148</v>
      </c>
      <c r="H7">
        <f t="shared" ref="H7:H70" si="2">G7/1000</f>
        <v>33.413537345823151</v>
      </c>
      <c r="I7">
        <v>596.67030974684201</v>
      </c>
      <c r="J7">
        <v>596670.30974684202</v>
      </c>
      <c r="K7" s="19">
        <v>596.67030974684201</v>
      </c>
      <c r="L7" s="11">
        <v>0.2049</v>
      </c>
      <c r="M7" s="13">
        <f t="shared" ref="M7:M70" si="3">K7/L7</f>
        <v>2912.0073682129919</v>
      </c>
      <c r="O7" t="s">
        <v>137</v>
      </c>
      <c r="P7" s="16" t="s">
        <v>138</v>
      </c>
      <c r="Q7" s="16" t="s">
        <v>139</v>
      </c>
      <c r="R7" s="16" t="s">
        <v>140</v>
      </c>
      <c r="S7" s="16" t="s">
        <v>137</v>
      </c>
      <c r="T7" s="16" t="s">
        <v>138</v>
      </c>
      <c r="U7" s="16" t="s">
        <v>139</v>
      </c>
      <c r="V7" s="16" t="s">
        <v>140</v>
      </c>
    </row>
    <row r="8" spans="1:22" ht="15">
      <c r="B8" t="s">
        <v>82</v>
      </c>
      <c r="C8">
        <v>94.9</v>
      </c>
      <c r="D8">
        <v>94.9</v>
      </c>
      <c r="E8">
        <f t="shared" si="0"/>
        <v>1532.1766612641816</v>
      </c>
      <c r="G8">
        <f t="shared" si="1"/>
        <v>25969.095953630196</v>
      </c>
      <c r="H8">
        <f t="shared" si="2"/>
        <v>25.969095953630195</v>
      </c>
      <c r="I8">
        <v>463.73385631482489</v>
      </c>
      <c r="J8">
        <v>463733.85631482489</v>
      </c>
      <c r="K8" s="19">
        <v>463.73385631482489</v>
      </c>
      <c r="M8" s="13" t="e">
        <f t="shared" si="3"/>
        <v>#DIV/0!</v>
      </c>
      <c r="O8" s="16">
        <v>1439.252</v>
      </c>
      <c r="P8" s="16"/>
      <c r="Q8" s="16"/>
      <c r="R8" s="16"/>
      <c r="S8">
        <f>O8/1000</f>
        <v>1.439252</v>
      </c>
    </row>
    <row r="9" spans="1:22" ht="15">
      <c r="B9" t="s">
        <v>83</v>
      </c>
      <c r="C9">
        <v>186</v>
      </c>
      <c r="D9">
        <v>186</v>
      </c>
      <c r="E9">
        <f t="shared" si="0"/>
        <v>3008.6758508914104</v>
      </c>
      <c r="G9">
        <f t="shared" si="1"/>
        <v>50994.505947312042</v>
      </c>
      <c r="H9">
        <f t="shared" si="2"/>
        <v>50.994505947312042</v>
      </c>
      <c r="I9">
        <v>910.616177630572</v>
      </c>
      <c r="J9">
        <v>910616.177630572</v>
      </c>
      <c r="K9" s="19">
        <v>910.616177630572</v>
      </c>
      <c r="M9" s="13" t="e">
        <f t="shared" si="3"/>
        <v>#DIV/0!</v>
      </c>
      <c r="O9" s="16">
        <v>1283.279</v>
      </c>
      <c r="P9" s="16"/>
      <c r="Q9" s="16"/>
      <c r="R9" s="16"/>
      <c r="S9">
        <f t="shared" ref="S9:S21" si="4">O9/1000</f>
        <v>1.2832790000000001</v>
      </c>
    </row>
    <row r="10" spans="1:22" ht="15">
      <c r="E10" s="4"/>
      <c r="G10" s="4"/>
      <c r="H10" s="4"/>
      <c r="I10" s="4"/>
      <c r="J10" s="4"/>
      <c r="K10" s="20"/>
      <c r="M10" s="13" t="e">
        <f t="shared" si="3"/>
        <v>#DIV/0!</v>
      </c>
      <c r="O10" s="16">
        <v>1375.539</v>
      </c>
      <c r="P10" s="16"/>
      <c r="Q10" s="16">
        <v>730.64649999999995</v>
      </c>
      <c r="R10" s="16"/>
      <c r="S10">
        <f t="shared" si="4"/>
        <v>1.3755390000000001</v>
      </c>
      <c r="U10">
        <f>Q10/1000</f>
        <v>0.73064649999999998</v>
      </c>
    </row>
    <row r="11" spans="1:22" ht="15">
      <c r="A11" s="1">
        <v>39877</v>
      </c>
      <c r="B11" t="s">
        <v>84</v>
      </c>
      <c r="C11">
        <v>76.099999999999994</v>
      </c>
      <c r="D11">
        <v>76.099999999999994</v>
      </c>
      <c r="E11">
        <f>(D11-2.5473)/0.0377</f>
        <v>1950.9999999999998</v>
      </c>
      <c r="G11">
        <f t="shared" si="1"/>
        <v>33067.796610169491</v>
      </c>
      <c r="H11">
        <f t="shared" si="2"/>
        <v>33.067796610169488</v>
      </c>
      <c r="I11">
        <v>590.4963680387408</v>
      </c>
      <c r="J11">
        <v>590496.36803874094</v>
      </c>
      <c r="K11" s="18">
        <v>590.4963680387408</v>
      </c>
      <c r="L11" s="11">
        <v>0.2429</v>
      </c>
      <c r="M11" s="13">
        <f t="shared" si="3"/>
        <v>2431.0266284015675</v>
      </c>
      <c r="N11">
        <f>K11-K13</f>
        <v>-219.97289677009132</v>
      </c>
      <c r="O11" s="16"/>
      <c r="P11" s="16"/>
      <c r="Q11" s="16">
        <v>630.32280000000003</v>
      </c>
      <c r="R11" s="16"/>
      <c r="U11">
        <f t="shared" ref="U11:U24" si="5">Q11/1000</f>
        <v>0.63032280000000007</v>
      </c>
    </row>
    <row r="12" spans="1:22" ht="15">
      <c r="A12" t="s">
        <v>94</v>
      </c>
      <c r="B12" t="s">
        <v>85</v>
      </c>
      <c r="C12">
        <v>154.9</v>
      </c>
      <c r="D12">
        <v>154.9</v>
      </c>
      <c r="E12">
        <f t="shared" ref="E12:E16" si="6">(C12-2.5473)/0.0377</f>
        <v>4041.185676392573</v>
      </c>
      <c r="G12">
        <f t="shared" si="1"/>
        <v>68494.672481230053</v>
      </c>
      <c r="H12">
        <f t="shared" si="2"/>
        <v>68.494672481230054</v>
      </c>
      <c r="I12">
        <v>1223.1191514505372</v>
      </c>
      <c r="J12">
        <v>1223119.1514505399</v>
      </c>
      <c r="K12" s="19">
        <v>1223.1191514505372</v>
      </c>
      <c r="L12" s="11">
        <v>0.2429</v>
      </c>
      <c r="M12" s="13">
        <f t="shared" si="3"/>
        <v>5035.4843616736807</v>
      </c>
      <c r="O12" s="16">
        <v>904.89559999999994</v>
      </c>
      <c r="P12" s="16"/>
      <c r="Q12" s="16">
        <v>409.65190000000001</v>
      </c>
      <c r="R12" s="16"/>
      <c r="S12">
        <f t="shared" si="4"/>
        <v>0.90489559999999991</v>
      </c>
      <c r="U12">
        <f t="shared" si="5"/>
        <v>0.40965190000000001</v>
      </c>
    </row>
    <row r="13" spans="1:22" ht="15">
      <c r="B13" t="s">
        <v>87</v>
      </c>
      <c r="C13">
        <v>103.5</v>
      </c>
      <c r="D13">
        <v>103.5</v>
      </c>
      <c r="E13">
        <f>(D13-2.5473)/0.0377</f>
        <v>2677.7904509283821</v>
      </c>
      <c r="G13">
        <f t="shared" si="1"/>
        <v>45386.278829294606</v>
      </c>
      <c r="H13">
        <f t="shared" si="2"/>
        <v>45.386278829294604</v>
      </c>
      <c r="I13">
        <v>810.46926480883212</v>
      </c>
      <c r="J13">
        <v>810469.2648088322</v>
      </c>
      <c r="K13" s="18">
        <v>810.46926480883212</v>
      </c>
      <c r="L13" s="11">
        <v>0.17</v>
      </c>
      <c r="M13" s="13">
        <f t="shared" si="3"/>
        <v>4767.4662635813647</v>
      </c>
      <c r="O13" s="16"/>
      <c r="P13" s="16">
        <v>413.3904</v>
      </c>
      <c r="Q13" s="16"/>
      <c r="R13" s="16"/>
      <c r="T13">
        <f>P13/1000</f>
        <v>0.41339039999999999</v>
      </c>
    </row>
    <row r="14" spans="1:22" ht="15">
      <c r="B14" t="s">
        <v>89</v>
      </c>
      <c r="C14">
        <v>135</v>
      </c>
      <c r="D14">
        <v>135</v>
      </c>
      <c r="E14">
        <f t="shared" si="6"/>
        <v>3513.3342175066314</v>
      </c>
      <c r="G14">
        <f t="shared" si="1"/>
        <v>59548.037584858153</v>
      </c>
      <c r="H14">
        <f t="shared" si="2"/>
        <v>59.54803758485815</v>
      </c>
      <c r="I14">
        <v>1063.3578140153238</v>
      </c>
      <c r="J14">
        <v>1063357.81401532</v>
      </c>
      <c r="K14" s="19">
        <v>1063.3578140153238</v>
      </c>
      <c r="L14" s="11">
        <v>0.17</v>
      </c>
      <c r="M14" s="13">
        <f t="shared" si="3"/>
        <v>6255.0459647960224</v>
      </c>
      <c r="O14" s="16"/>
      <c r="P14" s="16">
        <v>214.25530000000001</v>
      </c>
      <c r="Q14" s="16"/>
      <c r="R14" s="16"/>
      <c r="T14">
        <f t="shared" ref="T14:T19" si="7">P14/1000</f>
        <v>0.21425530000000001</v>
      </c>
    </row>
    <row r="15" spans="1:22" ht="15">
      <c r="B15" t="s">
        <v>82</v>
      </c>
      <c r="C15">
        <v>67.400000000000006</v>
      </c>
      <c r="D15">
        <v>67.400000000000006</v>
      </c>
      <c r="E15">
        <f t="shared" si="6"/>
        <v>1720.2307692307693</v>
      </c>
      <c r="G15">
        <f t="shared" si="1"/>
        <v>29156.453715775755</v>
      </c>
      <c r="H15">
        <f t="shared" si="2"/>
        <v>29.156453715775754</v>
      </c>
      <c r="I15">
        <v>520.65095921028126</v>
      </c>
      <c r="J15">
        <v>520650.95921028132</v>
      </c>
      <c r="K15" s="19">
        <v>520.65095921028126</v>
      </c>
      <c r="M15" s="13" t="e">
        <f t="shared" si="3"/>
        <v>#DIV/0!</v>
      </c>
      <c r="O15" s="16"/>
      <c r="P15" s="16"/>
      <c r="Q15" s="16"/>
      <c r="R15" s="16"/>
    </row>
    <row r="16" spans="1:22" ht="15">
      <c r="B16" t="s">
        <v>83</v>
      </c>
      <c r="C16">
        <v>184</v>
      </c>
      <c r="D16">
        <v>184</v>
      </c>
      <c r="E16">
        <f t="shared" si="6"/>
        <v>4813.0689655172418</v>
      </c>
      <c r="G16">
        <f t="shared" si="1"/>
        <v>81577.440093512574</v>
      </c>
      <c r="H16">
        <f t="shared" si="2"/>
        <v>81.577440093512578</v>
      </c>
      <c r="I16">
        <v>1456.740001669868</v>
      </c>
      <c r="J16">
        <f>I16*1000</f>
        <v>1456740.0016698679</v>
      </c>
      <c r="K16" s="19">
        <v>1456.740001669868</v>
      </c>
      <c r="M16" s="13" t="e">
        <f t="shared" si="3"/>
        <v>#DIV/0!</v>
      </c>
      <c r="O16" s="16"/>
      <c r="P16" s="16">
        <v>118.5685</v>
      </c>
      <c r="Q16" s="16"/>
      <c r="R16" s="16"/>
      <c r="T16">
        <f t="shared" si="7"/>
        <v>0.11856849999999999</v>
      </c>
    </row>
    <row r="17" spans="1:22" ht="15">
      <c r="M17" s="13" t="e">
        <f t="shared" si="3"/>
        <v>#DIV/0!</v>
      </c>
      <c r="O17" s="16"/>
      <c r="P17" s="16"/>
      <c r="Q17" s="16"/>
      <c r="R17" s="16"/>
    </row>
    <row r="18" spans="1:22" ht="15">
      <c r="A18" s="1">
        <v>39913</v>
      </c>
      <c r="B18" t="s">
        <v>48</v>
      </c>
      <c r="C18">
        <v>74.84</v>
      </c>
      <c r="D18">
        <v>74.84</v>
      </c>
      <c r="E18">
        <f>(D18-0.0008)/0.0524</f>
        <v>1428.2290076335878</v>
      </c>
      <c r="G18">
        <f t="shared" si="1"/>
        <v>24207.27131582352</v>
      </c>
      <c r="H18">
        <f t="shared" si="2"/>
        <v>24.207271315823519</v>
      </c>
      <c r="I18">
        <f t="shared" ref="I18:I23" si="8">H18/0.056</f>
        <v>432.27270206827711</v>
      </c>
      <c r="J18">
        <f t="shared" ref="J18:J23" si="9">I18*1000</f>
        <v>432272.70206827711</v>
      </c>
      <c r="K18" s="18">
        <f t="shared" ref="K18:K23" si="10">J18/1000</f>
        <v>432.27270206827711</v>
      </c>
      <c r="L18" s="11">
        <v>0.2382</v>
      </c>
      <c r="M18" s="13">
        <f t="shared" si="3"/>
        <v>1814.7468600683339</v>
      </c>
      <c r="N18">
        <f>K18-K20</f>
        <v>257.5527235088627</v>
      </c>
      <c r="O18" s="16"/>
      <c r="P18" s="16"/>
      <c r="Q18" s="16"/>
      <c r="R18" s="16"/>
    </row>
    <row r="19" spans="1:22" ht="15">
      <c r="A19" t="s">
        <v>95</v>
      </c>
      <c r="B19" t="s">
        <v>49</v>
      </c>
      <c r="C19">
        <v>124.96</v>
      </c>
      <c r="D19">
        <v>124.96</v>
      </c>
      <c r="E19">
        <f t="shared" ref="E19:E23" si="11">(C19-0.0008)/0.0524</f>
        <v>2384.7175572519081</v>
      </c>
      <c r="G19">
        <f t="shared" si="1"/>
        <v>40418.94164833743</v>
      </c>
      <c r="H19">
        <f t="shared" si="2"/>
        <v>40.41894164833743</v>
      </c>
      <c r="I19">
        <f t="shared" si="8"/>
        <v>721.76681514888264</v>
      </c>
      <c r="J19">
        <f t="shared" si="9"/>
        <v>721766.81514888268</v>
      </c>
      <c r="K19" s="19">
        <f t="shared" si="10"/>
        <v>721.76681514888264</v>
      </c>
      <c r="L19" s="11">
        <v>0.2382</v>
      </c>
      <c r="M19" s="13">
        <f t="shared" si="3"/>
        <v>3030.0873851758297</v>
      </c>
      <c r="O19" s="16">
        <v>945.09029999999996</v>
      </c>
      <c r="P19" s="16">
        <v>588.88599999999997</v>
      </c>
      <c r="Q19" s="16"/>
      <c r="R19" s="16"/>
      <c r="S19">
        <f t="shared" si="4"/>
        <v>0.94509029999999994</v>
      </c>
      <c r="T19">
        <f t="shared" si="7"/>
        <v>0.58888600000000002</v>
      </c>
    </row>
    <row r="20" spans="1:22" ht="15">
      <c r="B20" t="s">
        <v>50</v>
      </c>
      <c r="C20">
        <v>30.25</v>
      </c>
      <c r="D20">
        <v>30.25</v>
      </c>
      <c r="E20">
        <f>(D20-0.0008)/0.0524</f>
        <v>577.27480916030527</v>
      </c>
      <c r="G20">
        <f t="shared" si="1"/>
        <v>9784.3187993272077</v>
      </c>
      <c r="H20">
        <f t="shared" si="2"/>
        <v>9.7843187993272078</v>
      </c>
      <c r="I20">
        <f t="shared" si="8"/>
        <v>174.71997855941441</v>
      </c>
      <c r="J20">
        <f t="shared" si="9"/>
        <v>174719.97855941442</v>
      </c>
      <c r="K20" s="18">
        <f t="shared" si="10"/>
        <v>174.71997855941441</v>
      </c>
      <c r="L20" s="11">
        <v>0.19539999999999999</v>
      </c>
      <c r="M20" s="13">
        <f t="shared" si="3"/>
        <v>894.16570398881481</v>
      </c>
      <c r="O20" s="16"/>
      <c r="P20" s="16"/>
      <c r="Q20" s="16"/>
      <c r="R20" s="16"/>
    </row>
    <row r="21" spans="1:22" ht="15">
      <c r="B21" t="s">
        <v>51</v>
      </c>
      <c r="C21">
        <v>48.69</v>
      </c>
      <c r="D21">
        <v>48.69</v>
      </c>
      <c r="E21">
        <f t="shared" si="11"/>
        <v>929.18320610687022</v>
      </c>
      <c r="G21">
        <f t="shared" si="1"/>
        <v>15748.867900116446</v>
      </c>
      <c r="H21">
        <f t="shared" si="2"/>
        <v>15.748867900116446</v>
      </c>
      <c r="I21">
        <f t="shared" si="8"/>
        <v>281.2297839306508</v>
      </c>
      <c r="J21">
        <f t="shared" si="9"/>
        <v>281229.7839306508</v>
      </c>
      <c r="K21" s="19">
        <f t="shared" si="10"/>
        <v>281.2297839306508</v>
      </c>
      <c r="L21" s="11">
        <v>0.19539999999999999</v>
      </c>
      <c r="M21" s="13">
        <f t="shared" si="3"/>
        <v>1439.2517089593184</v>
      </c>
      <c r="O21" s="16">
        <v>1045.172</v>
      </c>
      <c r="P21" s="16"/>
      <c r="Q21" s="16"/>
      <c r="R21" s="16">
        <v>787.60720000000003</v>
      </c>
      <c r="S21">
        <f t="shared" si="4"/>
        <v>1.045172</v>
      </c>
      <c r="V21">
        <f>R21/1000</f>
        <v>0.78760720000000006</v>
      </c>
    </row>
    <row r="22" spans="1:22" ht="15">
      <c r="B22" t="s">
        <v>52</v>
      </c>
      <c r="C22">
        <v>16.100000000000001</v>
      </c>
      <c r="D22">
        <v>16.100000000000001</v>
      </c>
      <c r="E22">
        <f t="shared" si="11"/>
        <v>307.23664122137404</v>
      </c>
      <c r="G22">
        <f t="shared" si="1"/>
        <v>5207.4006986673567</v>
      </c>
      <c r="H22">
        <f t="shared" si="2"/>
        <v>5.2074006986673567</v>
      </c>
      <c r="I22">
        <f t="shared" si="8"/>
        <v>92.989298190488512</v>
      </c>
      <c r="J22">
        <f t="shared" si="9"/>
        <v>92989.298190488509</v>
      </c>
      <c r="K22" s="19">
        <f t="shared" si="10"/>
        <v>92.989298190488512</v>
      </c>
      <c r="M22" s="13" t="e">
        <f t="shared" si="3"/>
        <v>#DIV/0!</v>
      </c>
      <c r="O22" s="16"/>
      <c r="P22" s="16"/>
      <c r="Q22" s="16"/>
      <c r="R22" s="16">
        <v>530.23519999999996</v>
      </c>
      <c r="V22">
        <f t="shared" ref="V22:V25" si="12">R22/1000</f>
        <v>0.53023520000000002</v>
      </c>
    </row>
    <row r="23" spans="1:22" ht="15">
      <c r="B23" t="s">
        <v>53</v>
      </c>
      <c r="C23">
        <v>184</v>
      </c>
      <c r="D23">
        <v>184</v>
      </c>
      <c r="E23">
        <f t="shared" si="11"/>
        <v>3511.4351145038167</v>
      </c>
      <c r="G23">
        <f t="shared" si="1"/>
        <v>59515.849398369777</v>
      </c>
      <c r="H23">
        <f t="shared" si="2"/>
        <v>59.515849398369774</v>
      </c>
      <c r="I23">
        <f t="shared" si="8"/>
        <v>1062.7830249708888</v>
      </c>
      <c r="J23">
        <f t="shared" si="9"/>
        <v>1062783.0249708889</v>
      </c>
      <c r="K23" s="19">
        <f t="shared" si="10"/>
        <v>1062.7830249708888</v>
      </c>
      <c r="M23" s="13" t="e">
        <f t="shared" si="3"/>
        <v>#DIV/0!</v>
      </c>
      <c r="O23" s="16"/>
      <c r="P23" s="16"/>
      <c r="Q23" s="16"/>
      <c r="R23" s="16"/>
    </row>
    <row r="24" spans="1:22" ht="15">
      <c r="M24" s="13" t="e">
        <f t="shared" si="3"/>
        <v>#DIV/0!</v>
      </c>
      <c r="O24" s="16"/>
      <c r="P24" s="16"/>
      <c r="Q24" s="16">
        <v>912.9905</v>
      </c>
      <c r="R24" s="16"/>
      <c r="U24">
        <f t="shared" si="5"/>
        <v>0.91299050000000004</v>
      </c>
    </row>
    <row r="25" spans="1:22" ht="15">
      <c r="A25" s="1">
        <v>39949</v>
      </c>
      <c r="B25" t="s">
        <v>134</v>
      </c>
      <c r="C25">
        <v>24.8</v>
      </c>
      <c r="D25">
        <v>24.8</v>
      </c>
      <c r="E25">
        <f>(D25-6.3974)/0.0423</f>
        <v>435.04964539007096</v>
      </c>
      <c r="G25">
        <f t="shared" si="1"/>
        <v>7373.7228032215417</v>
      </c>
      <c r="H25">
        <f t="shared" si="2"/>
        <v>7.3737228032215416</v>
      </c>
      <c r="I25">
        <f t="shared" ref="I25:I30" si="13">H25/0.056</f>
        <v>131.67362148609897</v>
      </c>
      <c r="J25">
        <f t="shared" ref="J25:J30" si="14">I25*1000</f>
        <v>131673.62148609897</v>
      </c>
      <c r="K25" s="18">
        <f t="shared" ref="K25:K30" si="15">J25/1000</f>
        <v>131.67362148609897</v>
      </c>
      <c r="L25" s="11">
        <v>0.21579999999999999</v>
      </c>
      <c r="M25" s="13">
        <f t="shared" si="3"/>
        <v>610.16506712742807</v>
      </c>
      <c r="N25">
        <f>K25-K27</f>
        <v>-36.491336527398516</v>
      </c>
      <c r="O25" s="16"/>
      <c r="P25" s="16"/>
      <c r="Q25" s="16"/>
      <c r="R25" s="16">
        <v>665.73839999999996</v>
      </c>
      <c r="V25">
        <f t="shared" si="12"/>
        <v>0.66573839999999995</v>
      </c>
    </row>
    <row r="26" spans="1:22" ht="15">
      <c r="A26" t="s">
        <v>96</v>
      </c>
      <c r="B26" t="s">
        <v>55</v>
      </c>
      <c r="C26">
        <v>0.09</v>
      </c>
      <c r="D26">
        <v>0.09</v>
      </c>
      <c r="E26">
        <f t="shared" ref="E26:E30" si="16">(C26-6.3974)/0.0423</f>
        <v>-149.11111111111114</v>
      </c>
      <c r="G26">
        <f t="shared" si="1"/>
        <v>-2527.306967984935</v>
      </c>
      <c r="H26">
        <f t="shared" si="2"/>
        <v>-2.5273069679849351</v>
      </c>
      <c r="I26">
        <f t="shared" si="13"/>
        <v>-45.130481571159557</v>
      </c>
      <c r="J26">
        <f t="shared" si="14"/>
        <v>-45130.481571159558</v>
      </c>
      <c r="K26" s="19">
        <f t="shared" si="15"/>
        <v>-45.130481571159557</v>
      </c>
      <c r="L26" s="11">
        <v>0.21579999999999999</v>
      </c>
      <c r="M26" s="13">
        <f t="shared" si="3"/>
        <v>-209.13105454661519</v>
      </c>
      <c r="O26" s="16"/>
      <c r="P26" s="16"/>
      <c r="Q26" s="16"/>
      <c r="R26" s="16"/>
    </row>
    <row r="27" spans="1:22">
      <c r="B27" t="s">
        <v>56</v>
      </c>
      <c r="C27">
        <v>29.9</v>
      </c>
      <c r="D27">
        <v>29.9</v>
      </c>
      <c r="E27">
        <f>(D27-6.3974)/0.0423</f>
        <v>555.61702127659566</v>
      </c>
      <c r="G27">
        <f t="shared" si="1"/>
        <v>9417.2376487558595</v>
      </c>
      <c r="H27">
        <f t="shared" si="2"/>
        <v>9.4172376487558598</v>
      </c>
      <c r="I27">
        <f t="shared" si="13"/>
        <v>168.16495801349748</v>
      </c>
      <c r="J27">
        <f t="shared" si="14"/>
        <v>168164.9580134975</v>
      </c>
      <c r="K27" s="18">
        <f t="shared" si="15"/>
        <v>168.16495801349748</v>
      </c>
      <c r="L27" s="11">
        <v>0.18679999999999999</v>
      </c>
      <c r="M27" s="13">
        <f t="shared" si="3"/>
        <v>900.24067459045762</v>
      </c>
    </row>
    <row r="28" spans="1:22">
      <c r="B28" t="s">
        <v>57</v>
      </c>
      <c r="C28">
        <v>39.9</v>
      </c>
      <c r="D28">
        <v>39.9</v>
      </c>
      <c r="E28">
        <f t="shared" si="16"/>
        <v>792.02364066193866</v>
      </c>
      <c r="G28">
        <f t="shared" si="1"/>
        <v>13424.129502744723</v>
      </c>
      <c r="H28">
        <f t="shared" si="2"/>
        <v>13.424129502744723</v>
      </c>
      <c r="I28">
        <f t="shared" si="13"/>
        <v>239.71659826329861</v>
      </c>
      <c r="J28">
        <f t="shared" si="14"/>
        <v>239716.5982632986</v>
      </c>
      <c r="K28" s="19">
        <f t="shared" si="15"/>
        <v>239.71659826329861</v>
      </c>
      <c r="L28" s="11">
        <v>0.18679999999999999</v>
      </c>
      <c r="M28" s="13">
        <f t="shared" si="3"/>
        <v>1283.2794339577013</v>
      </c>
    </row>
    <row r="29" spans="1:22">
      <c r="B29" t="s">
        <v>58</v>
      </c>
      <c r="C29">
        <v>11.7</v>
      </c>
      <c r="D29">
        <v>11.7</v>
      </c>
      <c r="E29">
        <f t="shared" si="16"/>
        <v>125.35697399527186</v>
      </c>
      <c r="G29">
        <f t="shared" si="1"/>
        <v>2124.6944744961334</v>
      </c>
      <c r="H29">
        <f t="shared" si="2"/>
        <v>2.1246944744961334</v>
      </c>
      <c r="I29">
        <f t="shared" si="13"/>
        <v>37.940972758859523</v>
      </c>
      <c r="J29">
        <f t="shared" si="14"/>
        <v>37940.97275885952</v>
      </c>
      <c r="K29" s="19">
        <f t="shared" si="15"/>
        <v>37.940972758859523</v>
      </c>
      <c r="M29" s="13" t="e">
        <f t="shared" si="3"/>
        <v>#DIV/0!</v>
      </c>
    </row>
    <row r="30" spans="1:22">
      <c r="B30" t="s">
        <v>19</v>
      </c>
      <c r="C30">
        <v>151</v>
      </c>
      <c r="D30">
        <v>151</v>
      </c>
      <c r="E30">
        <f t="shared" si="16"/>
        <v>3418.5011820330969</v>
      </c>
      <c r="G30">
        <f t="shared" si="1"/>
        <v>57940.698000560966</v>
      </c>
      <c r="H30">
        <f t="shared" si="2"/>
        <v>57.940698000560964</v>
      </c>
      <c r="I30">
        <f t="shared" si="13"/>
        <v>1034.6553214385885</v>
      </c>
      <c r="J30">
        <f t="shared" si="14"/>
        <v>1034655.3214385886</v>
      </c>
      <c r="K30" s="19">
        <f t="shared" si="15"/>
        <v>1034.6553214385885</v>
      </c>
      <c r="M30" s="13" t="e">
        <f t="shared" si="3"/>
        <v>#DIV/0!</v>
      </c>
    </row>
    <row r="31" spans="1:22">
      <c r="M31" s="13" t="e">
        <f t="shared" si="3"/>
        <v>#DIV/0!</v>
      </c>
    </row>
    <row r="32" spans="1:22">
      <c r="A32" s="1">
        <v>40005</v>
      </c>
      <c r="B32" t="s">
        <v>60</v>
      </c>
      <c r="C32">
        <v>48.9</v>
      </c>
      <c r="D32">
        <v>48.9</v>
      </c>
      <c r="E32">
        <f>(D32-1.9161)/0.0612</f>
        <v>767.71078431372553</v>
      </c>
      <c r="G32">
        <f t="shared" si="1"/>
        <v>13012.04719175806</v>
      </c>
      <c r="H32">
        <f t="shared" si="2"/>
        <v>13.012047191758059</v>
      </c>
      <c r="I32">
        <f t="shared" ref="I32:I37" si="17">H32/0.056</f>
        <v>232.35798556710819</v>
      </c>
      <c r="J32">
        <f t="shared" ref="J32:J37" si="18">I32*1000</f>
        <v>232357.98556710818</v>
      </c>
      <c r="K32" s="18">
        <f t="shared" ref="K32:K37" si="19">J32/1000</f>
        <v>232.35798556710819</v>
      </c>
      <c r="L32" s="11">
        <v>0.24829999999999999</v>
      </c>
      <c r="M32" s="13">
        <f t="shared" si="3"/>
        <v>935.79535065287234</v>
      </c>
      <c r="N32">
        <f>K32-K34</f>
        <v>110.77877478675084</v>
      </c>
    </row>
    <row r="33" spans="1:14">
      <c r="A33" t="s">
        <v>97</v>
      </c>
      <c r="B33" t="s">
        <v>61</v>
      </c>
      <c r="C33">
        <v>38.6</v>
      </c>
      <c r="D33">
        <v>38.6</v>
      </c>
      <c r="E33">
        <f t="shared" ref="E33:E37" si="20">(C33-1.9161)/0.0612</f>
        <v>599.41013071895429</v>
      </c>
      <c r="G33">
        <f t="shared" si="1"/>
        <v>10159.493740999225</v>
      </c>
      <c r="H33">
        <f t="shared" si="2"/>
        <v>10.159493740999226</v>
      </c>
      <c r="I33">
        <f t="shared" si="17"/>
        <v>181.41953108927189</v>
      </c>
      <c r="J33">
        <f t="shared" si="18"/>
        <v>181419.53108927188</v>
      </c>
      <c r="K33" s="19">
        <f t="shared" si="19"/>
        <v>181.41953108927189</v>
      </c>
      <c r="L33" s="11">
        <v>0.24829999999999999</v>
      </c>
      <c r="M33" s="13">
        <f t="shared" si="3"/>
        <v>730.64652069783278</v>
      </c>
    </row>
    <row r="34" spans="1:14">
      <c r="B34" t="s">
        <v>62</v>
      </c>
      <c r="C34">
        <v>26.5</v>
      </c>
      <c r="D34">
        <v>26.5</v>
      </c>
      <c r="E34">
        <f>(D34-1.9161)/0.0612</f>
        <v>401.69771241830068</v>
      </c>
      <c r="G34">
        <f t="shared" si="1"/>
        <v>6808.435803700012</v>
      </c>
      <c r="H34">
        <f t="shared" si="2"/>
        <v>6.8084358037000117</v>
      </c>
      <c r="I34">
        <f t="shared" si="17"/>
        <v>121.57921078035734</v>
      </c>
      <c r="J34">
        <f t="shared" si="18"/>
        <v>121579.21078035735</v>
      </c>
      <c r="K34" s="18">
        <f t="shared" si="19"/>
        <v>121.57921078035734</v>
      </c>
      <c r="L34" s="11">
        <v>0.17</v>
      </c>
      <c r="M34" s="13">
        <f t="shared" si="3"/>
        <v>715.17182811974908</v>
      </c>
    </row>
    <row r="35" spans="1:14">
      <c r="B35" t="s">
        <v>63</v>
      </c>
      <c r="C35">
        <v>49.2</v>
      </c>
      <c r="D35">
        <v>49.2</v>
      </c>
      <c r="E35">
        <f t="shared" si="20"/>
        <v>772.61274509803934</v>
      </c>
      <c r="G35">
        <f t="shared" si="1"/>
        <v>13095.131272848124</v>
      </c>
      <c r="H35">
        <f t="shared" si="2"/>
        <v>13.095131272848125</v>
      </c>
      <c r="I35">
        <f t="shared" si="17"/>
        <v>233.84162987228794</v>
      </c>
      <c r="J35">
        <f t="shared" si="18"/>
        <v>233841.62987228794</v>
      </c>
      <c r="K35" s="19">
        <f t="shared" si="19"/>
        <v>233.84162987228794</v>
      </c>
      <c r="L35" s="11">
        <v>0.17</v>
      </c>
      <c r="M35" s="13">
        <f t="shared" si="3"/>
        <v>1375.5389992487526</v>
      </c>
    </row>
    <row r="36" spans="1:14">
      <c r="B36" t="s">
        <v>58</v>
      </c>
      <c r="C36">
        <v>16.3</v>
      </c>
      <c r="D36">
        <v>16.3</v>
      </c>
      <c r="E36">
        <f t="shared" si="20"/>
        <v>235.031045751634</v>
      </c>
      <c r="G36">
        <f t="shared" si="1"/>
        <v>3983.5770466378644</v>
      </c>
      <c r="H36">
        <f t="shared" si="2"/>
        <v>3.9835770466378646</v>
      </c>
      <c r="I36">
        <f t="shared" si="17"/>
        <v>71.135304404247577</v>
      </c>
      <c r="J36">
        <f t="shared" si="18"/>
        <v>71135.304404247581</v>
      </c>
      <c r="K36" s="19">
        <f t="shared" si="19"/>
        <v>71.135304404247577</v>
      </c>
      <c r="M36" s="13" t="e">
        <f t="shared" si="3"/>
        <v>#DIV/0!</v>
      </c>
    </row>
    <row r="37" spans="1:14">
      <c r="B37" t="s">
        <v>19</v>
      </c>
      <c r="C37">
        <v>158</v>
      </c>
      <c r="D37">
        <v>158</v>
      </c>
      <c r="E37">
        <f t="shared" si="20"/>
        <v>2550.3905228758172</v>
      </c>
      <c r="G37">
        <f t="shared" si="1"/>
        <v>43226.958014844364</v>
      </c>
      <c r="H37">
        <f t="shared" si="2"/>
        <v>43.226958014844364</v>
      </c>
      <c r="I37">
        <f t="shared" si="17"/>
        <v>771.90996455079221</v>
      </c>
      <c r="J37">
        <f t="shared" si="18"/>
        <v>771909.96455079224</v>
      </c>
      <c r="K37" s="19">
        <f t="shared" si="19"/>
        <v>771.90996455079221</v>
      </c>
      <c r="M37" s="13" t="e">
        <f t="shared" si="3"/>
        <v>#DIV/0!</v>
      </c>
    </row>
    <row r="38" spans="1:14">
      <c r="M38" s="13" t="e">
        <f t="shared" si="3"/>
        <v>#DIV/0!</v>
      </c>
    </row>
    <row r="39" spans="1:14">
      <c r="A39" s="1">
        <v>40089</v>
      </c>
      <c r="B39" t="s">
        <v>64</v>
      </c>
      <c r="C39">
        <v>49.4</v>
      </c>
      <c r="D39">
        <v>49.4</v>
      </c>
      <c r="E39">
        <f>(D39-2.3302)/0.0671</f>
        <v>701.48733233979135</v>
      </c>
      <c r="G39">
        <f t="shared" si="1"/>
        <v>11889.615802369344</v>
      </c>
      <c r="H39">
        <f t="shared" si="2"/>
        <v>11.889615802369343</v>
      </c>
      <c r="I39">
        <f t="shared" ref="I39:I102" si="21">H39/0.056</f>
        <v>212.31456789945256</v>
      </c>
      <c r="J39">
        <f t="shared" ref="J39:J102" si="22">I39*1000</f>
        <v>212314.56789945255</v>
      </c>
      <c r="K39" s="18">
        <f t="shared" ref="K39:K102" si="23">J39/1000</f>
        <v>212.31456789945256</v>
      </c>
      <c r="L39" s="11">
        <v>0.22520000000000001</v>
      </c>
      <c r="M39" s="13">
        <f t="shared" si="3"/>
        <v>942.78227308815519</v>
      </c>
      <c r="N39">
        <f>K39-K41</f>
        <v>136.22110037781056</v>
      </c>
    </row>
    <row r="40" spans="1:14">
      <c r="A40" t="s">
        <v>98</v>
      </c>
      <c r="B40" t="s">
        <v>65</v>
      </c>
      <c r="C40">
        <v>33.799999999999997</v>
      </c>
      <c r="D40">
        <v>33.799999999999997</v>
      </c>
      <c r="E40">
        <f t="shared" ref="E40:E44" si="24">(C40-2.3302)/0.0671</f>
        <v>468.99850968703419</v>
      </c>
      <c r="G40">
        <f t="shared" si="1"/>
        <v>7949.1272828310885</v>
      </c>
      <c r="H40">
        <f t="shared" si="2"/>
        <v>7.9491272828310882</v>
      </c>
      <c r="I40">
        <f t="shared" si="21"/>
        <v>141.94870147912658</v>
      </c>
      <c r="J40">
        <f t="shared" si="22"/>
        <v>141948.70147912658</v>
      </c>
      <c r="K40" s="19">
        <f t="shared" si="23"/>
        <v>141.94870147912658</v>
      </c>
      <c r="L40" s="11">
        <v>0.22520000000000001</v>
      </c>
      <c r="M40" s="13">
        <f t="shared" si="3"/>
        <v>630.32283072436314</v>
      </c>
    </row>
    <row r="41" spans="1:14">
      <c r="B41" t="s">
        <v>66</v>
      </c>
      <c r="C41">
        <v>19.2</v>
      </c>
      <c r="D41">
        <v>19.2</v>
      </c>
      <c r="E41">
        <f>(D41-2.3302)/0.0671</f>
        <v>251.41281669150516</v>
      </c>
      <c r="G41">
        <f t="shared" si="1"/>
        <v>4261.2341812119521</v>
      </c>
      <c r="H41">
        <f t="shared" si="2"/>
        <v>4.2612341812119521</v>
      </c>
      <c r="I41">
        <f t="shared" si="21"/>
        <v>76.093467521641998</v>
      </c>
      <c r="J41">
        <f t="shared" si="22"/>
        <v>76093.467521642</v>
      </c>
      <c r="K41" s="18">
        <f t="shared" si="23"/>
        <v>76.093467521641998</v>
      </c>
      <c r="L41" s="11">
        <v>0.18859999999999999</v>
      </c>
      <c r="M41" s="13">
        <f t="shared" si="3"/>
        <v>403.46483309460234</v>
      </c>
    </row>
    <row r="42" spans="1:14">
      <c r="B42" t="s">
        <v>67</v>
      </c>
      <c r="C42">
        <v>28.2</v>
      </c>
      <c r="D42">
        <v>28.2</v>
      </c>
      <c r="E42">
        <f t="shared" si="24"/>
        <v>385.54098360655729</v>
      </c>
      <c r="G42">
        <f t="shared" si="1"/>
        <v>6534.5929424840224</v>
      </c>
      <c r="H42">
        <f t="shared" si="2"/>
        <v>6.5345929424840223</v>
      </c>
      <c r="I42">
        <f t="shared" si="21"/>
        <v>116.68915968721468</v>
      </c>
      <c r="J42">
        <f t="shared" si="22"/>
        <v>116689.15968721468</v>
      </c>
      <c r="K42" s="19">
        <f t="shared" si="23"/>
        <v>116.68915968721468</v>
      </c>
      <c r="L42" s="11">
        <v>0.18859999999999999</v>
      </c>
      <c r="M42" s="13">
        <f t="shared" si="3"/>
        <v>618.71240555256998</v>
      </c>
    </row>
    <row r="43" spans="1:14">
      <c r="B43" t="s">
        <v>58</v>
      </c>
      <c r="C43">
        <v>1</v>
      </c>
      <c r="D43">
        <v>1</v>
      </c>
      <c r="E43">
        <f t="shared" si="24"/>
        <v>-19.824143070044709</v>
      </c>
      <c r="G43">
        <f t="shared" si="1"/>
        <v>-336.00242491601199</v>
      </c>
      <c r="H43">
        <f t="shared" si="2"/>
        <v>-0.33600242491601201</v>
      </c>
      <c r="I43">
        <f t="shared" si="21"/>
        <v>-6.000043302071643</v>
      </c>
      <c r="J43">
        <f t="shared" si="22"/>
        <v>-6000.0433020716428</v>
      </c>
      <c r="K43" s="19">
        <f t="shared" si="23"/>
        <v>-6.000043302071643</v>
      </c>
      <c r="M43" s="13" t="e">
        <f t="shared" si="3"/>
        <v>#DIV/0!</v>
      </c>
    </row>
    <row r="44" spans="1:14">
      <c r="B44" t="s">
        <v>19</v>
      </c>
      <c r="C44">
        <v>143</v>
      </c>
      <c r="D44">
        <v>143</v>
      </c>
      <c r="E44">
        <f t="shared" si="24"/>
        <v>2096.4202682563337</v>
      </c>
      <c r="G44">
        <f t="shared" si="1"/>
        <v>35532.546919598877</v>
      </c>
      <c r="H44">
        <f t="shared" si="2"/>
        <v>35.532546919598879</v>
      </c>
      <c r="I44">
        <f t="shared" si="21"/>
        <v>634.50976642140859</v>
      </c>
      <c r="J44">
        <f t="shared" si="22"/>
        <v>634509.76642140863</v>
      </c>
      <c r="K44" s="19">
        <f t="shared" si="23"/>
        <v>634.50976642140859</v>
      </c>
      <c r="M44" s="13" t="e">
        <f t="shared" si="3"/>
        <v>#DIV/0!</v>
      </c>
    </row>
    <row r="45" spans="1:14">
      <c r="G45">
        <f t="shared" si="1"/>
        <v>0</v>
      </c>
      <c r="H45">
        <f t="shared" si="2"/>
        <v>0</v>
      </c>
      <c r="I45">
        <f t="shared" si="21"/>
        <v>0</v>
      </c>
      <c r="J45">
        <f t="shared" si="22"/>
        <v>0</v>
      </c>
      <c r="K45" s="19">
        <f t="shared" si="23"/>
        <v>0</v>
      </c>
      <c r="M45" s="13" t="e">
        <f t="shared" si="3"/>
        <v>#DIV/0!</v>
      </c>
    </row>
    <row r="46" spans="1:14">
      <c r="A46" s="1">
        <v>40247</v>
      </c>
      <c r="B46" t="s">
        <v>100</v>
      </c>
      <c r="C46">
        <v>29.3</v>
      </c>
      <c r="D46">
        <v>29.3</v>
      </c>
      <c r="E46">
        <f>(D46-4.3315)/0.0757</f>
        <v>329.83487450462349</v>
      </c>
      <c r="G46">
        <f t="shared" si="1"/>
        <v>5590.4216017732797</v>
      </c>
      <c r="H46">
        <f t="shared" si="2"/>
        <v>5.5904216017732793</v>
      </c>
      <c r="I46">
        <f t="shared" si="21"/>
        <v>99.828957174522841</v>
      </c>
      <c r="J46">
        <f t="shared" si="22"/>
        <v>99828.957174522846</v>
      </c>
      <c r="K46" s="18">
        <f t="shared" si="23"/>
        <v>99.828957174522841</v>
      </c>
      <c r="L46" s="11">
        <v>0.34910000000000002</v>
      </c>
      <c r="M46" s="13">
        <f t="shared" si="3"/>
        <v>285.96092000722666</v>
      </c>
      <c r="N46">
        <f>K46-K48</f>
        <v>16.792423258625703</v>
      </c>
    </row>
    <row r="47" spans="1:14">
      <c r="A47" t="s">
        <v>99</v>
      </c>
      <c r="B47" t="s">
        <v>101</v>
      </c>
      <c r="C47">
        <v>40.1</v>
      </c>
      <c r="D47">
        <v>40.1</v>
      </c>
      <c r="E47">
        <f t="shared" ref="E47:E51" si="25">(C47-4.3315)/0.0757</f>
        <v>472.50330250990754</v>
      </c>
      <c r="G47">
        <f t="shared" si="1"/>
        <v>8008.5305510153821</v>
      </c>
      <c r="H47">
        <f t="shared" si="2"/>
        <v>8.0085305510153812</v>
      </c>
      <c r="I47">
        <f t="shared" si="21"/>
        <v>143.00947412527466</v>
      </c>
      <c r="J47">
        <f t="shared" si="22"/>
        <v>143009.47412527466</v>
      </c>
      <c r="K47" s="19">
        <f t="shared" si="23"/>
        <v>143.00947412527466</v>
      </c>
      <c r="L47" s="11">
        <v>0.34910000000000002</v>
      </c>
      <c r="M47" s="13">
        <f t="shared" si="3"/>
        <v>409.65188807010787</v>
      </c>
    </row>
    <row r="48" spans="1:14">
      <c r="B48" t="s">
        <v>102</v>
      </c>
      <c r="C48">
        <v>25.1</v>
      </c>
      <c r="D48">
        <v>25.1</v>
      </c>
      <c r="E48">
        <f>(D48-4.3315)/0.0757</f>
        <v>274.35270805812422</v>
      </c>
      <c r="G48">
        <f t="shared" si="1"/>
        <v>4650.0458992902404</v>
      </c>
      <c r="H48">
        <f t="shared" si="2"/>
        <v>4.65004589929024</v>
      </c>
      <c r="I48">
        <f t="shared" si="21"/>
        <v>83.036533915897138</v>
      </c>
      <c r="J48">
        <f t="shared" si="22"/>
        <v>83036.533915897133</v>
      </c>
      <c r="K48" s="18">
        <f t="shared" si="23"/>
        <v>83.036533915897138</v>
      </c>
      <c r="L48" s="11">
        <v>0.16289999999999999</v>
      </c>
      <c r="M48" s="13">
        <f t="shared" si="3"/>
        <v>509.73931194534771</v>
      </c>
    </row>
    <row r="49" spans="1:14">
      <c r="B49" t="s">
        <v>103</v>
      </c>
      <c r="C49">
        <v>41.2</v>
      </c>
      <c r="D49">
        <v>41.2</v>
      </c>
      <c r="E49">
        <f t="shared" si="25"/>
        <v>487.03434610303833</v>
      </c>
      <c r="G49">
        <f t="shared" si="1"/>
        <v>8254.819425475227</v>
      </c>
      <c r="H49">
        <f t="shared" si="2"/>
        <v>8.2548194254752278</v>
      </c>
      <c r="I49">
        <f t="shared" si="21"/>
        <v>147.40748974062907</v>
      </c>
      <c r="J49">
        <f t="shared" si="22"/>
        <v>147407.48974062907</v>
      </c>
      <c r="K49" s="19">
        <f t="shared" si="23"/>
        <v>147.40748974062907</v>
      </c>
      <c r="L49" s="11">
        <v>0.16289999999999999</v>
      </c>
      <c r="M49" s="13">
        <f t="shared" si="3"/>
        <v>904.89557851828783</v>
      </c>
    </row>
    <row r="50" spans="1:14">
      <c r="B50" t="s">
        <v>104</v>
      </c>
      <c r="C50">
        <v>34</v>
      </c>
      <c r="D50">
        <v>34</v>
      </c>
      <c r="E50">
        <f t="shared" si="25"/>
        <v>391.92206076618231</v>
      </c>
      <c r="G50">
        <f t="shared" si="1"/>
        <v>6642.7467926471572</v>
      </c>
      <c r="H50">
        <f t="shared" si="2"/>
        <v>6.6427467926471575</v>
      </c>
      <c r="I50">
        <f t="shared" si="21"/>
        <v>118.62047844012781</v>
      </c>
      <c r="J50">
        <f t="shared" si="22"/>
        <v>118620.47844012782</v>
      </c>
      <c r="K50" s="19">
        <f t="shared" si="23"/>
        <v>118.62047844012781</v>
      </c>
      <c r="M50" s="13" t="e">
        <f t="shared" si="3"/>
        <v>#DIV/0!</v>
      </c>
    </row>
    <row r="51" spans="1:14">
      <c r="B51" t="s">
        <v>105</v>
      </c>
      <c r="C51">
        <v>249</v>
      </c>
      <c r="D51">
        <v>249</v>
      </c>
      <c r="E51">
        <f t="shared" si="25"/>
        <v>3232.0805812417434</v>
      </c>
      <c r="G51">
        <f t="shared" si="1"/>
        <v>54781.026800707514</v>
      </c>
      <c r="H51">
        <f t="shared" si="2"/>
        <v>54.781026800707515</v>
      </c>
      <c r="I51">
        <f t="shared" si="21"/>
        <v>978.23262144120565</v>
      </c>
      <c r="J51">
        <f t="shared" si="22"/>
        <v>978232.62144120561</v>
      </c>
      <c r="K51" s="19">
        <f t="shared" si="23"/>
        <v>978.23262144120565</v>
      </c>
      <c r="M51" s="13" t="e">
        <f t="shared" si="3"/>
        <v>#DIV/0!</v>
      </c>
    </row>
    <row r="52" spans="1:14">
      <c r="G52">
        <f t="shared" si="1"/>
        <v>0</v>
      </c>
      <c r="H52">
        <f t="shared" si="2"/>
        <v>0</v>
      </c>
      <c r="I52">
        <f t="shared" si="21"/>
        <v>0</v>
      </c>
      <c r="J52">
        <f t="shared" si="22"/>
        <v>0</v>
      </c>
      <c r="K52" s="19">
        <f t="shared" si="23"/>
        <v>0</v>
      </c>
      <c r="M52" s="13" t="e">
        <f t="shared" si="3"/>
        <v>#DIV/0!</v>
      </c>
    </row>
    <row r="53" spans="1:14">
      <c r="A53" s="1">
        <v>40249</v>
      </c>
      <c r="B53" t="s">
        <v>107</v>
      </c>
      <c r="C53">
        <v>11.7</v>
      </c>
      <c r="D53">
        <v>11.7</v>
      </c>
      <c r="E53">
        <f>(D53-2.9437)/0.0821</f>
        <v>106.65408038976857</v>
      </c>
      <c r="G53">
        <f t="shared" si="1"/>
        <v>1807.6962777926874</v>
      </c>
      <c r="H53">
        <f t="shared" si="2"/>
        <v>1.8076962777926875</v>
      </c>
      <c r="I53">
        <f t="shared" si="21"/>
        <v>32.28029067486942</v>
      </c>
      <c r="J53">
        <f t="shared" si="22"/>
        <v>32280.290674869419</v>
      </c>
      <c r="K53" s="18">
        <f t="shared" si="23"/>
        <v>32.28029067486942</v>
      </c>
      <c r="L53" s="11">
        <v>0.18509999999999999</v>
      </c>
      <c r="M53" s="13">
        <f t="shared" si="3"/>
        <v>174.39379078805737</v>
      </c>
      <c r="N53">
        <f>K53-K55</f>
        <v>-64.145478997148103</v>
      </c>
    </row>
    <row r="54" spans="1:14">
      <c r="A54" t="s">
        <v>106</v>
      </c>
      <c r="B54" t="s">
        <v>8</v>
      </c>
      <c r="C54">
        <v>23.7</v>
      </c>
      <c r="D54">
        <v>23.7</v>
      </c>
      <c r="E54">
        <f t="shared" ref="E54:E58" si="26">(C54-2.9437)/0.0821</f>
        <v>252.81729598051155</v>
      </c>
      <c r="G54">
        <f t="shared" si="1"/>
        <v>4285.0389149239245</v>
      </c>
      <c r="H54">
        <f t="shared" si="2"/>
        <v>4.2850389149239243</v>
      </c>
      <c r="I54">
        <f t="shared" si="21"/>
        <v>76.518552052212939</v>
      </c>
      <c r="J54">
        <f t="shared" si="22"/>
        <v>76518.552052212937</v>
      </c>
      <c r="K54" s="19">
        <f t="shared" si="23"/>
        <v>76.518552052212939</v>
      </c>
      <c r="L54" s="11">
        <v>0.18509999999999999</v>
      </c>
      <c r="M54" s="13">
        <f t="shared" si="3"/>
        <v>413.39034063864369</v>
      </c>
    </row>
    <row r="55" spans="1:14">
      <c r="B55" t="s">
        <v>6</v>
      </c>
      <c r="C55">
        <v>29.1</v>
      </c>
      <c r="D55">
        <v>29.1</v>
      </c>
      <c r="E55">
        <f>(D55-2.9437)/0.0821</f>
        <v>318.59074299634591</v>
      </c>
      <c r="G55">
        <f t="shared" si="1"/>
        <v>5399.8431016329814</v>
      </c>
      <c r="H55">
        <f t="shared" si="2"/>
        <v>5.3998431016329818</v>
      </c>
      <c r="I55">
        <f t="shared" si="21"/>
        <v>96.425769672017523</v>
      </c>
      <c r="J55">
        <f t="shared" si="22"/>
        <v>96425.76967201753</v>
      </c>
      <c r="K55" s="18">
        <f t="shared" si="23"/>
        <v>96.425769672017523</v>
      </c>
      <c r="L55" s="11">
        <v>0.2485</v>
      </c>
      <c r="M55" s="13">
        <f t="shared" si="3"/>
        <v>388.0312662857848</v>
      </c>
    </row>
    <row r="56" spans="1:14">
      <c r="B56" t="s">
        <v>7</v>
      </c>
      <c r="C56">
        <v>27.9</v>
      </c>
      <c r="D56">
        <v>27.9</v>
      </c>
      <c r="E56">
        <f t="shared" si="26"/>
        <v>303.97442143727159</v>
      </c>
      <c r="G56">
        <f t="shared" si="1"/>
        <v>5152.1088379198573</v>
      </c>
      <c r="H56">
        <f t="shared" si="2"/>
        <v>5.1521088379198572</v>
      </c>
      <c r="I56">
        <f t="shared" si="21"/>
        <v>92.001943534283157</v>
      </c>
      <c r="J56">
        <f t="shared" si="22"/>
        <v>92001.943534283157</v>
      </c>
      <c r="K56" s="19">
        <f t="shared" si="23"/>
        <v>92.001943534283157</v>
      </c>
      <c r="L56" s="11">
        <v>0.2485</v>
      </c>
      <c r="M56" s="13">
        <f t="shared" si="3"/>
        <v>370.22914903132056</v>
      </c>
    </row>
    <row r="57" spans="1:14">
      <c r="B57" t="s">
        <v>104</v>
      </c>
      <c r="C57">
        <v>52.2</v>
      </c>
      <c r="D57">
        <v>52.2</v>
      </c>
      <c r="E57">
        <f t="shared" si="26"/>
        <v>599.95493300852615</v>
      </c>
      <c r="G57">
        <f t="shared" si="1"/>
        <v>10168.727678110614</v>
      </c>
      <c r="H57">
        <f t="shared" si="2"/>
        <v>10.168727678110614</v>
      </c>
      <c r="I57">
        <f t="shared" si="21"/>
        <v>181.5844228234038</v>
      </c>
      <c r="J57">
        <f t="shared" si="22"/>
        <v>181584.42282340379</v>
      </c>
      <c r="K57" s="19">
        <f t="shared" si="23"/>
        <v>181.5844228234038</v>
      </c>
      <c r="M57" s="13" t="e">
        <f t="shared" si="3"/>
        <v>#DIV/0!</v>
      </c>
    </row>
    <row r="58" spans="1:14">
      <c r="B58" t="s">
        <v>9</v>
      </c>
      <c r="C58">
        <v>254</v>
      </c>
      <c r="D58">
        <v>254</v>
      </c>
      <c r="E58">
        <f t="shared" si="26"/>
        <v>3057.9330085261872</v>
      </c>
      <c r="G58">
        <f t="shared" si="1"/>
        <v>51829.373025867586</v>
      </c>
      <c r="H58">
        <f t="shared" si="2"/>
        <v>51.829373025867589</v>
      </c>
      <c r="I58">
        <f t="shared" si="21"/>
        <v>925.5245183190641</v>
      </c>
      <c r="J58">
        <f t="shared" si="22"/>
        <v>925524.51831906405</v>
      </c>
      <c r="K58" s="19">
        <f t="shared" si="23"/>
        <v>925.5245183190641</v>
      </c>
      <c r="M58" s="13" t="e">
        <f t="shared" si="3"/>
        <v>#DIV/0!</v>
      </c>
    </row>
    <row r="59" spans="1:14">
      <c r="G59">
        <f t="shared" si="1"/>
        <v>0</v>
      </c>
      <c r="H59">
        <f t="shared" si="2"/>
        <v>0</v>
      </c>
      <c r="I59">
        <f t="shared" si="21"/>
        <v>0</v>
      </c>
      <c r="J59">
        <f t="shared" si="22"/>
        <v>0</v>
      </c>
      <c r="K59" s="19">
        <f t="shared" si="23"/>
        <v>0</v>
      </c>
      <c r="M59" s="13" t="e">
        <f t="shared" si="3"/>
        <v>#DIV/0!</v>
      </c>
    </row>
    <row r="60" spans="1:14">
      <c r="A60" s="1">
        <v>40249</v>
      </c>
      <c r="B60" t="s">
        <v>11</v>
      </c>
      <c r="C60">
        <v>9.76</v>
      </c>
      <c r="D60">
        <v>9.76</v>
      </c>
      <c r="E60">
        <f>(D60-17.782)/0.0554</f>
        <v>-144.80144404332131</v>
      </c>
      <c r="G60">
        <f t="shared" si="1"/>
        <v>-2454.261763446124</v>
      </c>
      <c r="H60">
        <f t="shared" si="2"/>
        <v>-2.4542617634461239</v>
      </c>
      <c r="I60">
        <f t="shared" si="21"/>
        <v>-43.826102918680782</v>
      </c>
      <c r="J60">
        <f t="shared" si="22"/>
        <v>-43826.102918680779</v>
      </c>
      <c r="K60" s="18">
        <f t="shared" si="23"/>
        <v>-43.826102918680782</v>
      </c>
      <c r="L60" s="11">
        <v>0.18149999999999999</v>
      </c>
      <c r="M60" s="13">
        <f t="shared" si="3"/>
        <v>-241.4661317833652</v>
      </c>
      <c r="N60">
        <f>K60-K62</f>
        <v>-34.636934991827005</v>
      </c>
    </row>
    <row r="61" spans="1:14">
      <c r="A61" t="s">
        <v>10</v>
      </c>
      <c r="B61" t="s">
        <v>12</v>
      </c>
      <c r="C61">
        <v>24.9</v>
      </c>
      <c r="D61">
        <v>24.9</v>
      </c>
      <c r="E61">
        <f t="shared" ref="E61:E65" si="27">(C61-17.782)/0.0554</f>
        <v>128.48375451263536</v>
      </c>
      <c r="G61">
        <f t="shared" si="1"/>
        <v>2177.690754451447</v>
      </c>
      <c r="H61">
        <f t="shared" si="2"/>
        <v>2.1776907544514468</v>
      </c>
      <c r="I61">
        <f t="shared" si="21"/>
        <v>38.887334900918688</v>
      </c>
      <c r="J61">
        <f t="shared" si="22"/>
        <v>38887.334900918686</v>
      </c>
      <c r="K61" s="19">
        <f t="shared" si="23"/>
        <v>38.887334900918688</v>
      </c>
      <c r="L61" s="11">
        <v>0.18149999999999999</v>
      </c>
      <c r="M61" s="13">
        <f t="shared" si="3"/>
        <v>214.25528871029582</v>
      </c>
    </row>
    <row r="62" spans="1:14">
      <c r="B62" t="s">
        <v>13</v>
      </c>
      <c r="C62">
        <v>16.100000000000001</v>
      </c>
      <c r="D62">
        <v>16.100000000000001</v>
      </c>
      <c r="E62">
        <f>(D62-17.782)/0.0554</f>
        <v>-30.361010830324886</v>
      </c>
      <c r="G62">
        <f t="shared" si="1"/>
        <v>-514.59340390381158</v>
      </c>
      <c r="H62">
        <f t="shared" si="2"/>
        <v>-0.51459340390381159</v>
      </c>
      <c r="I62">
        <f t="shared" si="21"/>
        <v>-9.1891679268537789</v>
      </c>
      <c r="J62">
        <f t="shared" si="22"/>
        <v>-9189.1679268537791</v>
      </c>
      <c r="K62" s="18">
        <f t="shared" si="23"/>
        <v>-9.1891679268537789</v>
      </c>
      <c r="L62" s="11">
        <v>0.17899999999999999</v>
      </c>
      <c r="M62" s="13">
        <f t="shared" si="3"/>
        <v>-51.336133669574188</v>
      </c>
    </row>
    <row r="63" spans="1:14">
      <c r="B63" t="s">
        <v>14</v>
      </c>
      <c r="C63">
        <v>39.299999999999997</v>
      </c>
      <c r="D63">
        <v>39.299999999999997</v>
      </c>
      <c r="E63">
        <f t="shared" si="27"/>
        <v>388.41155234657037</v>
      </c>
      <c r="G63">
        <f t="shared" si="1"/>
        <v>6583.2466499418715</v>
      </c>
      <c r="H63">
        <f t="shared" si="2"/>
        <v>6.5832466499418718</v>
      </c>
      <c r="I63">
        <f t="shared" si="21"/>
        <v>117.55797589181914</v>
      </c>
      <c r="J63">
        <f t="shared" si="22"/>
        <v>117557.97589181914</v>
      </c>
      <c r="K63" s="19">
        <f t="shared" si="23"/>
        <v>117.55797589181914</v>
      </c>
      <c r="L63" s="11">
        <v>0.17899999999999999</v>
      </c>
      <c r="M63" s="13">
        <f t="shared" si="3"/>
        <v>656.74846866938071</v>
      </c>
    </row>
    <row r="64" spans="1:14">
      <c r="B64" t="s">
        <v>15</v>
      </c>
      <c r="C64">
        <v>41.2</v>
      </c>
      <c r="D64">
        <v>41.2</v>
      </c>
      <c r="E64">
        <f t="shared" si="27"/>
        <v>422.70758122743689</v>
      </c>
      <c r="G64">
        <f t="shared" si="1"/>
        <v>7164.5352750413031</v>
      </c>
      <c r="H64">
        <f t="shared" si="2"/>
        <v>7.1645352750413034</v>
      </c>
      <c r="I64">
        <f t="shared" si="21"/>
        <v>127.93812991145184</v>
      </c>
      <c r="J64">
        <f t="shared" si="22"/>
        <v>127938.12991145183</v>
      </c>
      <c r="K64" s="19">
        <f t="shared" si="23"/>
        <v>127.93812991145184</v>
      </c>
      <c r="M64" s="13" t="e">
        <f t="shared" si="3"/>
        <v>#DIV/0!</v>
      </c>
    </row>
    <row r="65" spans="1:14">
      <c r="B65" t="s">
        <v>9</v>
      </c>
      <c r="C65">
        <v>198</v>
      </c>
      <c r="D65">
        <v>198</v>
      </c>
      <c r="E65">
        <f t="shared" si="27"/>
        <v>3253.0324909747292</v>
      </c>
      <c r="G65">
        <f t="shared" si="1"/>
        <v>55136.143914825916</v>
      </c>
      <c r="H65">
        <f t="shared" si="2"/>
        <v>55.136143914825915</v>
      </c>
      <c r="I65">
        <f t="shared" si="21"/>
        <v>984.57399847903423</v>
      </c>
      <c r="J65">
        <f t="shared" si="22"/>
        <v>984573.99847903429</v>
      </c>
      <c r="K65" s="19">
        <f t="shared" si="23"/>
        <v>984.57399847903423</v>
      </c>
      <c r="M65" s="13" t="e">
        <f t="shared" si="3"/>
        <v>#DIV/0!</v>
      </c>
    </row>
    <row r="66" spans="1:14">
      <c r="G66">
        <f t="shared" si="1"/>
        <v>0</v>
      </c>
      <c r="H66">
        <f t="shared" si="2"/>
        <v>0</v>
      </c>
      <c r="I66">
        <f t="shared" si="21"/>
        <v>0</v>
      </c>
      <c r="J66">
        <f t="shared" si="22"/>
        <v>0</v>
      </c>
      <c r="K66" s="19">
        <f t="shared" si="23"/>
        <v>0</v>
      </c>
      <c r="M66" s="13" t="e">
        <f t="shared" si="3"/>
        <v>#DIV/0!</v>
      </c>
    </row>
    <row r="67" spans="1:14">
      <c r="A67" s="1">
        <v>40260</v>
      </c>
      <c r="B67" t="s">
        <v>17</v>
      </c>
      <c r="C67">
        <v>-184</v>
      </c>
      <c r="D67">
        <v>-184</v>
      </c>
      <c r="E67">
        <f>(D67-2.6849)/0.0762</f>
        <v>-2449.9330708661414</v>
      </c>
      <c r="G67">
        <f t="shared" si="1"/>
        <v>-41524.289336714261</v>
      </c>
      <c r="H67">
        <f t="shared" si="2"/>
        <v>-41.524289336714261</v>
      </c>
      <c r="I67">
        <f t="shared" si="21"/>
        <v>-741.50516672704032</v>
      </c>
      <c r="J67">
        <f t="shared" si="22"/>
        <v>-741505.16672704031</v>
      </c>
      <c r="K67" s="18">
        <f t="shared" si="23"/>
        <v>-741.50516672704032</v>
      </c>
      <c r="L67" s="11">
        <v>0.1996</v>
      </c>
      <c r="M67" s="13">
        <f t="shared" si="3"/>
        <v>-3714.9557451254527</v>
      </c>
      <c r="N67">
        <f>K67-K72</f>
        <v>-842.88159048056104</v>
      </c>
    </row>
    <row r="68" spans="1:14">
      <c r="A68" t="s">
        <v>16</v>
      </c>
      <c r="B68" t="s">
        <v>18</v>
      </c>
      <c r="C68">
        <v>-184</v>
      </c>
      <c r="D68">
        <v>-184</v>
      </c>
      <c r="E68">
        <f t="shared" ref="E68:E70" si="28">(C68-2.6849)/0.0762</f>
        <v>-2449.9330708661414</v>
      </c>
      <c r="G68">
        <f t="shared" si="1"/>
        <v>-41524.289336714261</v>
      </c>
      <c r="H68">
        <f t="shared" si="2"/>
        <v>-41.524289336714261</v>
      </c>
      <c r="I68">
        <f t="shared" si="21"/>
        <v>-741.50516672704032</v>
      </c>
      <c r="J68">
        <f t="shared" si="22"/>
        <v>-741505.16672704031</v>
      </c>
      <c r="K68" s="19">
        <f t="shared" si="23"/>
        <v>-741.50516672704032</v>
      </c>
      <c r="L68" s="11">
        <v>0.1996</v>
      </c>
      <c r="M68" s="13">
        <f t="shared" si="3"/>
        <v>-3714.9557451254527</v>
      </c>
    </row>
    <row r="69" spans="1:14">
      <c r="B69" t="s">
        <v>15</v>
      </c>
      <c r="C69">
        <v>-180</v>
      </c>
      <c r="D69">
        <v>-180</v>
      </c>
      <c r="E69">
        <f t="shared" si="28"/>
        <v>-2397.4396325459315</v>
      </c>
      <c r="G69">
        <f t="shared" si="1"/>
        <v>-40634.570043151383</v>
      </c>
      <c r="H69">
        <f t="shared" si="2"/>
        <v>-40.634570043151385</v>
      </c>
      <c r="I69">
        <f t="shared" si="21"/>
        <v>-725.61732219913188</v>
      </c>
      <c r="J69">
        <f t="shared" si="22"/>
        <v>-725617.32219913183</v>
      </c>
      <c r="K69" s="19">
        <f t="shared" si="23"/>
        <v>-725.61732219913188</v>
      </c>
      <c r="M69" s="13" t="e">
        <f t="shared" si="3"/>
        <v>#DIV/0!</v>
      </c>
    </row>
    <row r="70" spans="1:14">
      <c r="B70" t="s">
        <v>19</v>
      </c>
      <c r="C70">
        <v>19.600000000000001</v>
      </c>
      <c r="D70">
        <v>19.600000000000001</v>
      </c>
      <c r="E70">
        <f t="shared" si="28"/>
        <v>221.98293963254596</v>
      </c>
      <c r="G70">
        <f t="shared" si="1"/>
        <v>3762.422705636372</v>
      </c>
      <c r="H70">
        <f t="shared" si="2"/>
        <v>3.7624227056363719</v>
      </c>
      <c r="I70">
        <f t="shared" si="21"/>
        <v>67.186119743506637</v>
      </c>
      <c r="J70">
        <f t="shared" si="22"/>
        <v>67186.119743506642</v>
      </c>
      <c r="K70" s="19">
        <f t="shared" si="23"/>
        <v>67.186119743506637</v>
      </c>
      <c r="M70" s="13" t="e">
        <f t="shared" si="3"/>
        <v>#DIV/0!</v>
      </c>
    </row>
    <row r="71" spans="1:14">
      <c r="G71">
        <f t="shared" si="1"/>
        <v>0</v>
      </c>
      <c r="H71">
        <f t="shared" ref="H71:H131" si="29">G71/1000</f>
        <v>0</v>
      </c>
      <c r="I71">
        <f t="shared" si="21"/>
        <v>0</v>
      </c>
      <c r="J71">
        <f t="shared" si="22"/>
        <v>0</v>
      </c>
      <c r="K71" s="19">
        <f t="shared" si="23"/>
        <v>0</v>
      </c>
      <c r="M71" s="13" t="e">
        <f t="shared" ref="M71:M131" si="30">K71/L71</f>
        <v>#DIV/0!</v>
      </c>
    </row>
    <row r="72" spans="1:14">
      <c r="B72" t="s">
        <v>20</v>
      </c>
      <c r="C72">
        <v>28.3</v>
      </c>
      <c r="D72">
        <v>28.3</v>
      </c>
      <c r="E72">
        <f>(D72-2.0401)/0.0784</f>
        <v>334.94770408163271</v>
      </c>
      <c r="G72">
        <f t="shared" ref="G72:G131" si="31">(E72/(5.9*10^13))*(1*10^15)</f>
        <v>5677.0797301971643</v>
      </c>
      <c r="H72">
        <f t="shared" si="29"/>
        <v>5.6770797301971641</v>
      </c>
      <c r="I72">
        <f t="shared" si="21"/>
        <v>101.37642375352078</v>
      </c>
      <c r="J72">
        <f t="shared" si="22"/>
        <v>101376.42375352078</v>
      </c>
      <c r="K72" s="18">
        <f t="shared" si="23"/>
        <v>101.37642375352078</v>
      </c>
      <c r="L72" s="11">
        <v>0.15210000000000001</v>
      </c>
      <c r="M72" s="13">
        <f t="shared" si="30"/>
        <v>666.51166175884794</v>
      </c>
    </row>
    <row r="73" spans="1:14">
      <c r="B73" t="s">
        <v>21</v>
      </c>
      <c r="C73">
        <v>26</v>
      </c>
      <c r="D73">
        <v>26</v>
      </c>
      <c r="E73">
        <f t="shared" ref="E73:E75" si="32">(C73-2.0401)/0.0784</f>
        <v>305.61096938775512</v>
      </c>
      <c r="G73">
        <f t="shared" si="31"/>
        <v>5179.8469387755104</v>
      </c>
      <c r="H73">
        <f t="shared" si="29"/>
        <v>5.1798469387755102</v>
      </c>
      <c r="I73">
        <f t="shared" si="21"/>
        <v>92.497266763848387</v>
      </c>
      <c r="J73">
        <f t="shared" si="22"/>
        <v>92497.266763848384</v>
      </c>
      <c r="K73" s="19">
        <f t="shared" si="23"/>
        <v>92.497266763848387</v>
      </c>
      <c r="L73" s="11">
        <v>0.15210000000000001</v>
      </c>
      <c r="M73" s="13">
        <f t="shared" si="30"/>
        <v>608.13456123503204</v>
      </c>
    </row>
    <row r="74" spans="1:14">
      <c r="B74" t="s">
        <v>104</v>
      </c>
      <c r="C74">
        <v>39.6</v>
      </c>
      <c r="D74">
        <v>39.6</v>
      </c>
      <c r="E74">
        <f t="shared" si="32"/>
        <v>479.08035714285717</v>
      </c>
      <c r="G74">
        <f t="shared" si="31"/>
        <v>8120.0060532687658</v>
      </c>
      <c r="H74">
        <f t="shared" si="29"/>
        <v>8.1200060532687655</v>
      </c>
      <c r="I74">
        <f t="shared" si="21"/>
        <v>145.00010809408511</v>
      </c>
      <c r="J74">
        <f t="shared" si="22"/>
        <v>145000.1080940851</v>
      </c>
      <c r="K74" s="19">
        <f t="shared" si="23"/>
        <v>145.00010809408511</v>
      </c>
      <c r="M74" s="13" t="e">
        <f t="shared" si="30"/>
        <v>#DIV/0!</v>
      </c>
    </row>
    <row r="75" spans="1:14">
      <c r="B75" t="s">
        <v>9</v>
      </c>
      <c r="C75">
        <v>214</v>
      </c>
      <c r="D75">
        <v>214</v>
      </c>
      <c r="E75">
        <f t="shared" si="32"/>
        <v>2703.5701530612246</v>
      </c>
      <c r="G75">
        <f t="shared" si="31"/>
        <v>45823.222933241093</v>
      </c>
      <c r="H75">
        <f t="shared" si="29"/>
        <v>45.823222933241091</v>
      </c>
      <c r="I75">
        <f t="shared" si="21"/>
        <v>818.27183809359087</v>
      </c>
      <c r="J75">
        <f t="shared" si="22"/>
        <v>818271.83809359092</v>
      </c>
      <c r="K75" s="19">
        <f t="shared" si="23"/>
        <v>818.27183809359087</v>
      </c>
      <c r="M75" s="13" t="e">
        <f t="shared" si="30"/>
        <v>#DIV/0!</v>
      </c>
    </row>
    <row r="76" spans="1:14">
      <c r="G76">
        <f t="shared" si="31"/>
        <v>0</v>
      </c>
      <c r="H76">
        <f t="shared" si="29"/>
        <v>0</v>
      </c>
      <c r="I76">
        <f t="shared" si="21"/>
        <v>0</v>
      </c>
      <c r="J76">
        <f t="shared" si="22"/>
        <v>0</v>
      </c>
      <c r="K76" s="19">
        <f t="shared" si="23"/>
        <v>0</v>
      </c>
      <c r="M76" s="13" t="e">
        <f t="shared" si="30"/>
        <v>#DIV/0!</v>
      </c>
    </row>
    <row r="77" spans="1:14">
      <c r="B77" t="s">
        <v>25</v>
      </c>
      <c r="G77">
        <f t="shared" si="31"/>
        <v>0</v>
      </c>
      <c r="H77">
        <f t="shared" si="29"/>
        <v>0</v>
      </c>
      <c r="I77">
        <f t="shared" si="21"/>
        <v>0</v>
      </c>
      <c r="J77">
        <f t="shared" si="22"/>
        <v>0</v>
      </c>
      <c r="K77" s="19">
        <f t="shared" si="23"/>
        <v>0</v>
      </c>
      <c r="M77" s="13" t="e">
        <f t="shared" si="30"/>
        <v>#DIV/0!</v>
      </c>
    </row>
    <row r="78" spans="1:14">
      <c r="A78" s="1">
        <v>40261</v>
      </c>
      <c r="B78" t="s">
        <v>24</v>
      </c>
      <c r="C78">
        <v>26.3</v>
      </c>
      <c r="D78">
        <v>26.3</v>
      </c>
      <c r="E78">
        <f>(D78-2.7655)-0.072</f>
        <v>23.462500000000002</v>
      </c>
      <c r="G78">
        <f t="shared" si="31"/>
        <v>397.66949152542378</v>
      </c>
      <c r="H78">
        <f t="shared" si="29"/>
        <v>0.3976694915254238</v>
      </c>
      <c r="I78">
        <f t="shared" si="21"/>
        <v>7.1012409200968536</v>
      </c>
      <c r="J78">
        <f t="shared" si="22"/>
        <v>7101.2409200968532</v>
      </c>
      <c r="K78" s="18">
        <f t="shared" si="23"/>
        <v>7.1012409200968536</v>
      </c>
      <c r="L78" s="11">
        <v>0.1694</v>
      </c>
      <c r="M78" s="13">
        <f t="shared" si="30"/>
        <v>41.919958206002676</v>
      </c>
      <c r="N78">
        <f>K78-K83</f>
        <v>-3.0266343825664066E-2</v>
      </c>
    </row>
    <row r="79" spans="1:14">
      <c r="A79" t="s">
        <v>22</v>
      </c>
      <c r="B79" t="s">
        <v>23</v>
      </c>
      <c r="C79">
        <v>69.2</v>
      </c>
      <c r="D79">
        <v>69.2</v>
      </c>
      <c r="E79">
        <f t="shared" ref="E79:E92" si="33">(C79-2.7655)-0.072</f>
        <v>66.362499999999997</v>
      </c>
      <c r="G79">
        <f t="shared" si="31"/>
        <v>1124.7881355932202</v>
      </c>
      <c r="H79">
        <f t="shared" si="29"/>
        <v>1.1247881355932201</v>
      </c>
      <c r="I79">
        <f t="shared" si="21"/>
        <v>20.085502421307503</v>
      </c>
      <c r="J79">
        <f t="shared" si="22"/>
        <v>20085.502421307501</v>
      </c>
      <c r="K79" s="19">
        <f t="shared" si="23"/>
        <v>20.085502421307503</v>
      </c>
      <c r="L79" s="11">
        <v>0.1694</v>
      </c>
      <c r="M79" s="13">
        <f t="shared" si="30"/>
        <v>118.56849127100061</v>
      </c>
    </row>
    <row r="80" spans="1:14">
      <c r="B80" t="s">
        <v>104</v>
      </c>
      <c r="C80">
        <v>34.200000000000003</v>
      </c>
      <c r="D80">
        <v>34.200000000000003</v>
      </c>
      <c r="E80">
        <f t="shared" si="33"/>
        <v>31.362500000000004</v>
      </c>
      <c r="G80">
        <f t="shared" si="31"/>
        <v>531.56779661016958</v>
      </c>
      <c r="H80">
        <f t="shared" si="29"/>
        <v>0.53156779661016962</v>
      </c>
      <c r="I80">
        <f t="shared" si="21"/>
        <v>9.4922820823244578</v>
      </c>
      <c r="J80">
        <f t="shared" si="22"/>
        <v>9492.2820823244583</v>
      </c>
      <c r="K80" s="19">
        <f t="shared" si="23"/>
        <v>9.4922820823244578</v>
      </c>
      <c r="M80" s="13" t="e">
        <f t="shared" si="30"/>
        <v>#DIV/0!</v>
      </c>
    </row>
    <row r="81" spans="1:14">
      <c r="B81" t="s">
        <v>9</v>
      </c>
      <c r="C81">
        <v>223</v>
      </c>
      <c r="D81">
        <v>223</v>
      </c>
      <c r="E81">
        <f t="shared" si="33"/>
        <v>220.16249999999999</v>
      </c>
      <c r="G81">
        <f t="shared" si="31"/>
        <v>3731.5677966101694</v>
      </c>
      <c r="H81">
        <f t="shared" si="29"/>
        <v>3.7315677966101695</v>
      </c>
      <c r="I81">
        <f t="shared" si="21"/>
        <v>66.635139225181589</v>
      </c>
      <c r="J81">
        <f t="shared" si="22"/>
        <v>66635.139225181585</v>
      </c>
      <c r="K81" s="19">
        <f t="shared" si="23"/>
        <v>66.635139225181589</v>
      </c>
      <c r="M81" s="13" t="e">
        <f t="shared" si="30"/>
        <v>#DIV/0!</v>
      </c>
    </row>
    <row r="82" spans="1:14">
      <c r="G82">
        <f t="shared" si="31"/>
        <v>0</v>
      </c>
      <c r="H82">
        <f t="shared" si="29"/>
        <v>0</v>
      </c>
      <c r="I82">
        <f t="shared" si="21"/>
        <v>0</v>
      </c>
      <c r="J82">
        <f t="shared" si="22"/>
        <v>0</v>
      </c>
      <c r="K82" s="19">
        <f t="shared" si="23"/>
        <v>0</v>
      </c>
      <c r="M82" s="13" t="e">
        <f t="shared" si="30"/>
        <v>#DIV/0!</v>
      </c>
    </row>
    <row r="83" spans="1:14">
      <c r="B83" t="s">
        <v>26</v>
      </c>
      <c r="C83">
        <v>26.4</v>
      </c>
      <c r="D83">
        <v>26.4</v>
      </c>
      <c r="E83">
        <f>(D83-2.7655)-0.072</f>
        <v>23.5625</v>
      </c>
      <c r="G83">
        <f t="shared" si="31"/>
        <v>399.36440677966101</v>
      </c>
      <c r="H83">
        <f t="shared" si="29"/>
        <v>0.39936440677966101</v>
      </c>
      <c r="I83">
        <f t="shared" si="21"/>
        <v>7.1315072639225177</v>
      </c>
      <c r="J83">
        <f t="shared" si="22"/>
        <v>7131.5072639225173</v>
      </c>
      <c r="K83" s="18">
        <f t="shared" si="23"/>
        <v>7.1315072639225177</v>
      </c>
      <c r="L83" s="11">
        <v>0.13059999999999999</v>
      </c>
      <c r="M83" s="13">
        <f t="shared" si="30"/>
        <v>54.605721775823262</v>
      </c>
    </row>
    <row r="84" spans="1:14">
      <c r="B84" t="s">
        <v>27</v>
      </c>
      <c r="C84">
        <v>191</v>
      </c>
      <c r="D84">
        <v>191</v>
      </c>
      <c r="E84">
        <f t="shared" si="33"/>
        <v>188.16249999999999</v>
      </c>
      <c r="G84">
        <f t="shared" si="31"/>
        <v>3189.1949152542375</v>
      </c>
      <c r="H84">
        <f t="shared" si="29"/>
        <v>3.1891949152542374</v>
      </c>
      <c r="I84">
        <f t="shared" si="21"/>
        <v>56.94990920096852</v>
      </c>
      <c r="J84">
        <f t="shared" si="22"/>
        <v>56949.909200968519</v>
      </c>
      <c r="K84" s="19">
        <f t="shared" si="23"/>
        <v>56.94990920096852</v>
      </c>
      <c r="L84" s="11">
        <v>0.13059999999999999</v>
      </c>
      <c r="M84" s="13">
        <f t="shared" si="30"/>
        <v>436.06362328459818</v>
      </c>
    </row>
    <row r="85" spans="1:14">
      <c r="B85" t="s">
        <v>104</v>
      </c>
      <c r="C85">
        <v>27.6</v>
      </c>
      <c r="D85">
        <v>27.6</v>
      </c>
      <c r="E85">
        <f t="shared" si="33"/>
        <v>24.762500000000003</v>
      </c>
      <c r="G85">
        <f t="shared" si="31"/>
        <v>419.70338983050851</v>
      </c>
      <c r="H85">
        <f t="shared" si="29"/>
        <v>0.41970338983050853</v>
      </c>
      <c r="I85">
        <f t="shared" si="21"/>
        <v>7.4947033898305095</v>
      </c>
      <c r="J85">
        <f t="shared" si="22"/>
        <v>7494.7033898305099</v>
      </c>
      <c r="K85" s="19">
        <f t="shared" si="23"/>
        <v>7.4947033898305095</v>
      </c>
      <c r="M85" s="13" t="e">
        <f t="shared" si="30"/>
        <v>#DIV/0!</v>
      </c>
    </row>
    <row r="86" spans="1:14">
      <c r="B86" t="s">
        <v>28</v>
      </c>
      <c r="C86">
        <v>232</v>
      </c>
      <c r="D86">
        <v>232</v>
      </c>
      <c r="E86">
        <f t="shared" si="33"/>
        <v>229.16249999999999</v>
      </c>
      <c r="G86">
        <f t="shared" si="31"/>
        <v>3884.1101694915255</v>
      </c>
      <c r="H86">
        <f t="shared" si="29"/>
        <v>3.8841101694915254</v>
      </c>
      <c r="I86">
        <f t="shared" si="21"/>
        <v>69.35911016949153</v>
      </c>
      <c r="J86">
        <f t="shared" si="22"/>
        <v>69359.110169491527</v>
      </c>
      <c r="K86" s="19">
        <f t="shared" si="23"/>
        <v>69.35911016949153</v>
      </c>
      <c r="M86" s="13" t="e">
        <f t="shared" si="30"/>
        <v>#DIV/0!</v>
      </c>
    </row>
    <row r="87" spans="1:14">
      <c r="G87">
        <f t="shared" si="31"/>
        <v>0</v>
      </c>
      <c r="H87">
        <f t="shared" si="29"/>
        <v>0</v>
      </c>
      <c r="I87">
        <f t="shared" si="21"/>
        <v>0</v>
      </c>
      <c r="J87">
        <f t="shared" si="22"/>
        <v>0</v>
      </c>
      <c r="K87" s="19">
        <f t="shared" si="23"/>
        <v>0</v>
      </c>
      <c r="M87" s="13" t="e">
        <f t="shared" si="30"/>
        <v>#DIV/0!</v>
      </c>
    </row>
    <row r="88" spans="1:14">
      <c r="B88" t="s">
        <v>29</v>
      </c>
      <c r="G88">
        <f t="shared" si="31"/>
        <v>0</v>
      </c>
      <c r="H88">
        <f t="shared" si="29"/>
        <v>0</v>
      </c>
      <c r="I88">
        <f t="shared" si="21"/>
        <v>0</v>
      </c>
      <c r="J88">
        <f t="shared" si="22"/>
        <v>0</v>
      </c>
      <c r="K88" s="19">
        <f t="shared" si="23"/>
        <v>0</v>
      </c>
      <c r="M88" s="13" t="e">
        <f t="shared" si="30"/>
        <v>#DIV/0!</v>
      </c>
    </row>
    <row r="89" spans="1:14">
      <c r="B89" t="s">
        <v>30</v>
      </c>
      <c r="C89">
        <v>16.399999999999999</v>
      </c>
      <c r="D89">
        <v>16.399999999999999</v>
      </c>
      <c r="E89">
        <f>(D89-2.7655)-0.072</f>
        <v>13.5625</v>
      </c>
      <c r="G89">
        <f t="shared" si="31"/>
        <v>229.87288135593218</v>
      </c>
      <c r="H89">
        <f t="shared" si="29"/>
        <v>0.22987288135593217</v>
      </c>
      <c r="I89">
        <f t="shared" si="21"/>
        <v>4.1048728813559316</v>
      </c>
      <c r="J89">
        <f t="shared" si="22"/>
        <v>4104.8728813559319</v>
      </c>
      <c r="K89" s="18">
        <f t="shared" si="23"/>
        <v>4.1048728813559316</v>
      </c>
      <c r="L89" s="11">
        <v>0.13059999999999999</v>
      </c>
      <c r="M89" s="13">
        <f t="shared" si="30"/>
        <v>31.43087964284787</v>
      </c>
    </row>
    <row r="90" spans="1:14">
      <c r="B90" t="s">
        <v>31</v>
      </c>
      <c r="C90">
        <v>40.799999999999997</v>
      </c>
      <c r="D90">
        <v>40.799999999999997</v>
      </c>
      <c r="E90">
        <f t="shared" si="33"/>
        <v>37.962499999999991</v>
      </c>
      <c r="G90">
        <f t="shared" si="31"/>
        <v>643.43220338983031</v>
      </c>
      <c r="H90">
        <f t="shared" si="29"/>
        <v>0.64343220338983032</v>
      </c>
      <c r="I90">
        <f t="shared" si="21"/>
        <v>11.489860774818398</v>
      </c>
      <c r="J90">
        <f t="shared" si="22"/>
        <v>11489.860774818399</v>
      </c>
      <c r="K90" s="19">
        <f t="shared" si="23"/>
        <v>11.489860774818398</v>
      </c>
      <c r="L90" s="11">
        <v>0.13059999999999999</v>
      </c>
      <c r="M90" s="13">
        <f t="shared" si="30"/>
        <v>87.977494447307805</v>
      </c>
    </row>
    <row r="91" spans="1:14">
      <c r="B91" t="s">
        <v>104</v>
      </c>
      <c r="C91">
        <v>23.1</v>
      </c>
      <c r="D91">
        <v>23.1</v>
      </c>
      <c r="E91">
        <f t="shared" si="33"/>
        <v>20.262500000000003</v>
      </c>
      <c r="G91">
        <f t="shared" si="31"/>
        <v>343.43220338983059</v>
      </c>
      <c r="H91">
        <f t="shared" si="29"/>
        <v>0.3434322033898306</v>
      </c>
      <c r="I91">
        <f t="shared" si="21"/>
        <v>6.1327179176755466</v>
      </c>
      <c r="J91">
        <f t="shared" si="22"/>
        <v>6132.7179176755462</v>
      </c>
      <c r="K91" s="19">
        <f t="shared" si="23"/>
        <v>6.1327179176755466</v>
      </c>
      <c r="M91" s="13" t="e">
        <f t="shared" si="30"/>
        <v>#DIV/0!</v>
      </c>
    </row>
    <row r="92" spans="1:14">
      <c r="B92" t="s">
        <v>32</v>
      </c>
      <c r="C92">
        <v>236</v>
      </c>
      <c r="D92">
        <v>236</v>
      </c>
      <c r="E92">
        <f t="shared" si="33"/>
        <v>233.16249999999999</v>
      </c>
      <c r="G92">
        <f t="shared" si="31"/>
        <v>3951.906779661017</v>
      </c>
      <c r="H92">
        <f t="shared" si="29"/>
        <v>3.9519067796610172</v>
      </c>
      <c r="I92">
        <f t="shared" si="21"/>
        <v>70.569763922518163</v>
      </c>
      <c r="J92">
        <f t="shared" si="22"/>
        <v>70569.763922518163</v>
      </c>
      <c r="K92" s="19">
        <f t="shared" si="23"/>
        <v>70.569763922518163</v>
      </c>
      <c r="M92" s="13" t="e">
        <f t="shared" si="30"/>
        <v>#DIV/0!</v>
      </c>
    </row>
    <row r="93" spans="1:14">
      <c r="G93">
        <f t="shared" si="31"/>
        <v>0</v>
      </c>
      <c r="H93">
        <f t="shared" si="29"/>
        <v>0</v>
      </c>
      <c r="I93">
        <f t="shared" si="21"/>
        <v>0</v>
      </c>
      <c r="J93">
        <f t="shared" si="22"/>
        <v>0</v>
      </c>
      <c r="K93" s="19">
        <f t="shared" si="23"/>
        <v>0</v>
      </c>
      <c r="M93" s="13" t="e">
        <f t="shared" si="30"/>
        <v>#DIV/0!</v>
      </c>
    </row>
    <row r="94" spans="1:14">
      <c r="A94" s="1">
        <v>40262</v>
      </c>
      <c r="B94" t="s">
        <v>33</v>
      </c>
      <c r="G94">
        <f t="shared" si="31"/>
        <v>0</v>
      </c>
      <c r="H94">
        <f t="shared" si="29"/>
        <v>0</v>
      </c>
      <c r="I94">
        <f t="shared" si="21"/>
        <v>0</v>
      </c>
      <c r="J94">
        <f t="shared" si="22"/>
        <v>0</v>
      </c>
      <c r="K94" s="19">
        <f t="shared" si="23"/>
        <v>0</v>
      </c>
      <c r="M94" s="13" t="e">
        <f t="shared" si="30"/>
        <v>#DIV/0!</v>
      </c>
    </row>
    <row r="95" spans="1:14">
      <c r="A95" t="s">
        <v>34</v>
      </c>
      <c r="B95" t="s">
        <v>35</v>
      </c>
      <c r="C95">
        <v>11.1</v>
      </c>
      <c r="D95">
        <v>11.1</v>
      </c>
      <c r="E95">
        <f>(D95-2.895)/0.073</f>
        <v>112.39726027397261</v>
      </c>
      <c r="G95">
        <f t="shared" si="31"/>
        <v>1905.0383097283491</v>
      </c>
      <c r="H95">
        <f t="shared" si="29"/>
        <v>1.905038309728349</v>
      </c>
      <c r="I95">
        <f t="shared" si="21"/>
        <v>34.018541245149088</v>
      </c>
      <c r="J95">
        <f t="shared" si="22"/>
        <v>34018.541245149085</v>
      </c>
      <c r="K95" s="18">
        <f t="shared" si="23"/>
        <v>34.018541245149088</v>
      </c>
      <c r="L95" s="11">
        <v>0.1676</v>
      </c>
      <c r="M95" s="13">
        <f t="shared" si="30"/>
        <v>202.97458976819266</v>
      </c>
      <c r="N95">
        <f>K95-K100</f>
        <v>-28.910065555963662</v>
      </c>
    </row>
    <row r="96" spans="1:14">
      <c r="B96" t="s">
        <v>36</v>
      </c>
      <c r="C96">
        <v>26.7</v>
      </c>
      <c r="D96">
        <v>26.7</v>
      </c>
      <c r="E96">
        <f t="shared" ref="E96:E98" si="34">(C96-2.895)/0.073</f>
        <v>326.09589041095893</v>
      </c>
      <c r="G96">
        <f t="shared" si="31"/>
        <v>5527.0489900162529</v>
      </c>
      <c r="H96">
        <f t="shared" si="29"/>
        <v>5.5270489900162527</v>
      </c>
      <c r="I96">
        <f t="shared" si="21"/>
        <v>98.697303393147365</v>
      </c>
      <c r="J96">
        <f t="shared" si="22"/>
        <v>98697.303393147362</v>
      </c>
      <c r="K96" s="19">
        <f t="shared" si="23"/>
        <v>98.697303393147365</v>
      </c>
      <c r="L96" s="11">
        <v>0.1676</v>
      </c>
      <c r="M96" s="13">
        <f t="shared" si="30"/>
        <v>588.88605843166681</v>
      </c>
    </row>
    <row r="97" spans="1:14">
      <c r="B97" t="s">
        <v>37</v>
      </c>
      <c r="C97">
        <v>13.2</v>
      </c>
      <c r="D97">
        <v>13.2</v>
      </c>
      <c r="E97">
        <f t="shared" si="34"/>
        <v>141.16438356164383</v>
      </c>
      <c r="G97">
        <f t="shared" si="31"/>
        <v>2392.6166705363362</v>
      </c>
      <c r="H97">
        <f t="shared" si="29"/>
        <v>2.3926166705363361</v>
      </c>
      <c r="I97">
        <f t="shared" si="21"/>
        <v>42.725297688148856</v>
      </c>
      <c r="J97">
        <f t="shared" si="22"/>
        <v>42725.297688148858</v>
      </c>
      <c r="K97" s="19">
        <f t="shared" si="23"/>
        <v>42.725297688148856</v>
      </c>
      <c r="M97" s="13" t="e">
        <f t="shared" si="30"/>
        <v>#DIV/0!</v>
      </c>
    </row>
    <row r="98" spans="1:14">
      <c r="B98" t="s">
        <v>38</v>
      </c>
      <c r="C98">
        <v>168</v>
      </c>
      <c r="D98">
        <v>168</v>
      </c>
      <c r="E98">
        <f t="shared" si="34"/>
        <v>2261.7123287671234</v>
      </c>
      <c r="G98">
        <f t="shared" si="31"/>
        <v>38334.107267239378</v>
      </c>
      <c r="H98">
        <f t="shared" si="29"/>
        <v>38.334107267239375</v>
      </c>
      <c r="I98">
        <f t="shared" si="21"/>
        <v>684.53762977213171</v>
      </c>
      <c r="J98">
        <f t="shared" si="22"/>
        <v>684537.62977213168</v>
      </c>
      <c r="K98" s="19">
        <f t="shared" si="23"/>
        <v>684.53762977213171</v>
      </c>
      <c r="M98" s="13" t="e">
        <f t="shared" si="30"/>
        <v>#DIV/0!</v>
      </c>
    </row>
    <row r="99" spans="1:14">
      <c r="G99">
        <f t="shared" si="31"/>
        <v>0</v>
      </c>
      <c r="H99">
        <f t="shared" si="29"/>
        <v>0</v>
      </c>
      <c r="I99">
        <f t="shared" si="21"/>
        <v>0</v>
      </c>
      <c r="J99">
        <f t="shared" si="22"/>
        <v>0</v>
      </c>
      <c r="K99" s="19">
        <f t="shared" si="23"/>
        <v>0</v>
      </c>
      <c r="M99" s="13" t="e">
        <f t="shared" si="30"/>
        <v>#DIV/0!</v>
      </c>
    </row>
    <row r="100" spans="1:14">
      <c r="B100" t="s">
        <v>39</v>
      </c>
      <c r="C100">
        <v>19.3</v>
      </c>
      <c r="D100">
        <v>19.3</v>
      </c>
      <c r="E100">
        <f>(D100+2.7599)/0.1061</f>
        <v>207.91611687087652</v>
      </c>
      <c r="G100">
        <f t="shared" si="31"/>
        <v>3524.0019808623142</v>
      </c>
      <c r="H100">
        <f t="shared" si="29"/>
        <v>3.5240019808623142</v>
      </c>
      <c r="I100">
        <f t="shared" si="21"/>
        <v>62.92860680111275</v>
      </c>
      <c r="J100">
        <f t="shared" si="22"/>
        <v>62928.60680111275</v>
      </c>
      <c r="K100" s="18">
        <f t="shared" si="23"/>
        <v>62.92860680111275</v>
      </c>
      <c r="L100" s="11">
        <v>0.2006</v>
      </c>
      <c r="M100" s="13">
        <f t="shared" si="30"/>
        <v>313.70192822090104</v>
      </c>
    </row>
    <row r="101" spans="1:14">
      <c r="B101" t="s">
        <v>40</v>
      </c>
      <c r="C101">
        <v>63.7</v>
      </c>
      <c r="D101">
        <v>63.7</v>
      </c>
      <c r="E101">
        <f t="shared" ref="E101:E103" si="35">(C101+2.7599)/0.1061</f>
        <v>626.38925541941569</v>
      </c>
      <c r="G101">
        <f t="shared" si="31"/>
        <v>10616.767041007046</v>
      </c>
      <c r="H101">
        <f t="shared" si="29"/>
        <v>10.616767041007046</v>
      </c>
      <c r="I101">
        <f t="shared" si="21"/>
        <v>189.58512573226866</v>
      </c>
      <c r="J101">
        <f t="shared" si="22"/>
        <v>189585.12573226867</v>
      </c>
      <c r="K101" s="19">
        <f t="shared" si="23"/>
        <v>189.58512573226866</v>
      </c>
      <c r="L101" s="11">
        <v>0.2006</v>
      </c>
      <c r="M101" s="13">
        <f t="shared" si="30"/>
        <v>945.0903575885776</v>
      </c>
    </row>
    <row r="102" spans="1:14">
      <c r="B102" t="s">
        <v>15</v>
      </c>
      <c r="C102">
        <v>13</v>
      </c>
      <c r="D102">
        <v>13</v>
      </c>
      <c r="E102">
        <f t="shared" si="35"/>
        <v>148.53817153628651</v>
      </c>
      <c r="G102">
        <f t="shared" si="31"/>
        <v>2517.5961277336696</v>
      </c>
      <c r="H102">
        <f t="shared" si="29"/>
        <v>2.5175961277336696</v>
      </c>
      <c r="I102">
        <f t="shared" si="21"/>
        <v>44.957073709529816</v>
      </c>
      <c r="J102">
        <f t="shared" si="22"/>
        <v>44957.073709529817</v>
      </c>
      <c r="K102" s="19">
        <f t="shared" si="23"/>
        <v>44.957073709529816</v>
      </c>
      <c r="M102" s="13" t="e">
        <f t="shared" si="30"/>
        <v>#DIV/0!</v>
      </c>
    </row>
    <row r="103" spans="1:14">
      <c r="B103" t="s">
        <v>19</v>
      </c>
      <c r="C103">
        <v>219</v>
      </c>
      <c r="D103">
        <v>219</v>
      </c>
      <c r="E103">
        <f t="shared" si="35"/>
        <v>2090.1027332704994</v>
      </c>
      <c r="G103">
        <f t="shared" si="31"/>
        <v>35425.47005543219</v>
      </c>
      <c r="H103">
        <f t="shared" si="29"/>
        <v>35.425470055432193</v>
      </c>
      <c r="I103">
        <f t="shared" ref="I103:I131" si="36">H103/0.056</f>
        <v>632.59767956128917</v>
      </c>
      <c r="J103">
        <f t="shared" ref="J103:J131" si="37">I103*1000</f>
        <v>632597.67956128914</v>
      </c>
      <c r="K103" s="19">
        <f t="shared" ref="K103:K131" si="38">J103/1000</f>
        <v>632.59767956128917</v>
      </c>
      <c r="M103" s="13" t="e">
        <f t="shared" si="30"/>
        <v>#DIV/0!</v>
      </c>
    </row>
    <row r="104" spans="1:14">
      <c r="G104">
        <f t="shared" si="31"/>
        <v>0</v>
      </c>
      <c r="H104">
        <f t="shared" si="29"/>
        <v>0</v>
      </c>
      <c r="I104">
        <f t="shared" si="36"/>
        <v>0</v>
      </c>
      <c r="J104">
        <f t="shared" si="37"/>
        <v>0</v>
      </c>
      <c r="K104" s="19">
        <f t="shared" si="38"/>
        <v>0</v>
      </c>
      <c r="M104" s="13" t="e">
        <f t="shared" si="30"/>
        <v>#DIV/0!</v>
      </c>
    </row>
    <row r="105" spans="1:14">
      <c r="A105" s="1">
        <v>40263</v>
      </c>
      <c r="B105" t="s">
        <v>42</v>
      </c>
      <c r="G105">
        <f t="shared" si="31"/>
        <v>0</v>
      </c>
      <c r="H105">
        <f t="shared" si="29"/>
        <v>0</v>
      </c>
      <c r="I105">
        <f t="shared" si="36"/>
        <v>0</v>
      </c>
      <c r="J105">
        <f t="shared" si="37"/>
        <v>0</v>
      </c>
      <c r="K105" s="19">
        <f t="shared" si="38"/>
        <v>0</v>
      </c>
      <c r="M105" s="13" t="e">
        <f t="shared" si="30"/>
        <v>#DIV/0!</v>
      </c>
    </row>
    <row r="106" spans="1:14">
      <c r="A106" t="s">
        <v>41</v>
      </c>
      <c r="B106" t="s">
        <v>43</v>
      </c>
      <c r="C106">
        <v>21.8</v>
      </c>
      <c r="D106">
        <v>21.8</v>
      </c>
      <c r="E106">
        <f>(D106-1.8525)/0.0746</f>
        <v>267.39276139410191</v>
      </c>
      <c r="G106">
        <f t="shared" si="31"/>
        <v>4532.0807015949476</v>
      </c>
      <c r="H106">
        <f t="shared" si="29"/>
        <v>4.532080701594948</v>
      </c>
      <c r="I106">
        <f t="shared" si="36"/>
        <v>80.930012528481214</v>
      </c>
      <c r="J106">
        <f t="shared" si="37"/>
        <v>80930.012528481209</v>
      </c>
      <c r="K106" s="18">
        <f t="shared" si="38"/>
        <v>80.930012528481214</v>
      </c>
      <c r="L106" s="11">
        <v>0.2099</v>
      </c>
      <c r="M106" s="13">
        <f t="shared" si="30"/>
        <v>385.56461423764273</v>
      </c>
      <c r="N106">
        <f>K106-K111</f>
        <v>55.005152448300215</v>
      </c>
    </row>
    <row r="107" spans="1:14">
      <c r="B107" t="s">
        <v>44</v>
      </c>
      <c r="C107">
        <v>42.6</v>
      </c>
      <c r="D107">
        <v>42.6</v>
      </c>
      <c r="E107">
        <f t="shared" ref="E107:E119" si="39">(C107-1.8525)/0.0746</f>
        <v>546.21313672922258</v>
      </c>
      <c r="G107">
        <f t="shared" si="31"/>
        <v>9257.8497750715705</v>
      </c>
      <c r="H107">
        <f t="shared" si="29"/>
        <v>9.2578497750715698</v>
      </c>
      <c r="I107">
        <f t="shared" si="36"/>
        <v>165.31874598342088</v>
      </c>
      <c r="J107">
        <f t="shared" si="37"/>
        <v>165318.74598342087</v>
      </c>
      <c r="K107" s="19">
        <f t="shared" si="38"/>
        <v>165.31874598342088</v>
      </c>
      <c r="L107" s="11">
        <v>0.2099</v>
      </c>
      <c r="M107" s="13">
        <f t="shared" si="30"/>
        <v>787.60717476617856</v>
      </c>
    </row>
    <row r="108" spans="1:14">
      <c r="B108" t="s">
        <v>104</v>
      </c>
      <c r="C108">
        <v>23.1</v>
      </c>
      <c r="D108">
        <v>23.1</v>
      </c>
      <c r="E108">
        <f t="shared" si="39"/>
        <v>284.81903485254696</v>
      </c>
      <c r="G108">
        <f t="shared" si="31"/>
        <v>4827.4412686872365</v>
      </c>
      <c r="H108">
        <f t="shared" si="29"/>
        <v>4.8274412686872363</v>
      </c>
      <c r="I108">
        <f t="shared" si="36"/>
        <v>86.204308369414932</v>
      </c>
      <c r="J108">
        <f t="shared" si="37"/>
        <v>86204.308369414925</v>
      </c>
      <c r="K108" s="19">
        <f t="shared" si="38"/>
        <v>86.204308369414917</v>
      </c>
      <c r="M108" s="13" t="e">
        <f t="shared" si="30"/>
        <v>#DIV/0!</v>
      </c>
    </row>
    <row r="109" spans="1:14">
      <c r="B109" t="s">
        <v>9</v>
      </c>
      <c r="C109">
        <v>207</v>
      </c>
      <c r="D109">
        <v>207</v>
      </c>
      <c r="E109">
        <f t="shared" si="39"/>
        <v>2749.9664879356569</v>
      </c>
      <c r="G109">
        <f t="shared" si="31"/>
        <v>46609.601490434863</v>
      </c>
      <c r="H109">
        <f t="shared" si="29"/>
        <v>46.609601490434862</v>
      </c>
      <c r="I109">
        <f t="shared" si="36"/>
        <v>832.31431232919397</v>
      </c>
      <c r="J109">
        <f t="shared" si="37"/>
        <v>832314.31232919393</v>
      </c>
      <c r="K109" s="19">
        <f t="shared" si="38"/>
        <v>832.31431232919397</v>
      </c>
      <c r="M109" s="13" t="e">
        <f t="shared" si="30"/>
        <v>#DIV/0!</v>
      </c>
    </row>
    <row r="110" spans="1:14">
      <c r="G110">
        <f t="shared" si="31"/>
        <v>0</v>
      </c>
      <c r="H110">
        <f t="shared" si="29"/>
        <v>0</v>
      </c>
      <c r="I110">
        <f t="shared" si="36"/>
        <v>0</v>
      </c>
      <c r="J110">
        <f t="shared" si="37"/>
        <v>0</v>
      </c>
      <c r="K110" s="19">
        <f t="shared" si="38"/>
        <v>0</v>
      </c>
      <c r="M110" s="13" t="e">
        <f t="shared" si="30"/>
        <v>#DIV/0!</v>
      </c>
    </row>
    <row r="111" spans="1:14">
      <c r="B111" t="s">
        <v>45</v>
      </c>
      <c r="C111">
        <v>15.5</v>
      </c>
      <c r="D111">
        <v>15.5</v>
      </c>
      <c r="E111">
        <f>(D111-10.275)/0.061</f>
        <v>85.655737704918025</v>
      </c>
      <c r="G111">
        <f t="shared" si="31"/>
        <v>1451.792164490136</v>
      </c>
      <c r="H111">
        <f t="shared" si="29"/>
        <v>1.4517921644901359</v>
      </c>
      <c r="I111">
        <f t="shared" si="36"/>
        <v>25.924860080180999</v>
      </c>
      <c r="J111">
        <f t="shared" si="37"/>
        <v>25924.860080180999</v>
      </c>
      <c r="K111" s="18">
        <f t="shared" si="38"/>
        <v>25.924860080180999</v>
      </c>
      <c r="L111" s="11">
        <v>0.20519999999999999</v>
      </c>
      <c r="M111" s="13">
        <f t="shared" si="30"/>
        <v>126.33947407495614</v>
      </c>
    </row>
    <row r="112" spans="1:14">
      <c r="B112" t="s">
        <v>46</v>
      </c>
      <c r="C112">
        <v>53.5</v>
      </c>
      <c r="D112">
        <v>53.5</v>
      </c>
      <c r="E112">
        <f t="shared" ref="E112:E114" si="40">(C112-10.275)/0.061</f>
        <v>708.60655737704917</v>
      </c>
      <c r="G112">
        <f t="shared" si="31"/>
        <v>12010.280633509308</v>
      </c>
      <c r="H112">
        <f t="shared" si="29"/>
        <v>12.010280633509309</v>
      </c>
      <c r="I112">
        <f t="shared" si="36"/>
        <v>214.46929702695195</v>
      </c>
      <c r="J112">
        <f t="shared" si="37"/>
        <v>214469.29702695194</v>
      </c>
      <c r="K112" s="19">
        <f t="shared" si="38"/>
        <v>214.46929702695195</v>
      </c>
      <c r="L112" s="11">
        <v>0.20519999999999999</v>
      </c>
      <c r="M112" s="13">
        <f t="shared" si="30"/>
        <v>1045.1720128019101</v>
      </c>
    </row>
    <row r="113" spans="1:13">
      <c r="B113" t="s">
        <v>47</v>
      </c>
      <c r="C113">
        <v>25.7</v>
      </c>
      <c r="D113">
        <v>25.7</v>
      </c>
      <c r="E113">
        <f t="shared" si="40"/>
        <v>252.86885245901638</v>
      </c>
      <c r="G113">
        <f t="shared" si="31"/>
        <v>4285.9127535426505</v>
      </c>
      <c r="H113">
        <f t="shared" si="29"/>
        <v>4.2859127535426502</v>
      </c>
      <c r="I113">
        <f t="shared" si="36"/>
        <v>76.534156313261605</v>
      </c>
      <c r="J113">
        <f t="shared" si="37"/>
        <v>76534.156313261599</v>
      </c>
      <c r="K113" s="19">
        <f t="shared" si="38"/>
        <v>76.534156313261605</v>
      </c>
      <c r="M113" s="13" t="e">
        <f t="shared" si="30"/>
        <v>#DIV/0!</v>
      </c>
    </row>
    <row r="114" spans="1:13">
      <c r="B114" t="s">
        <v>19</v>
      </c>
      <c r="C114">
        <v>205</v>
      </c>
      <c r="D114">
        <v>205</v>
      </c>
      <c r="E114">
        <f t="shared" si="40"/>
        <v>3192.2131147540981</v>
      </c>
      <c r="G114">
        <f t="shared" si="31"/>
        <v>54105.307029730473</v>
      </c>
      <c r="H114">
        <f t="shared" si="29"/>
        <v>54.105307029730476</v>
      </c>
      <c r="I114">
        <f t="shared" si="36"/>
        <v>966.16619695947281</v>
      </c>
      <c r="J114">
        <f t="shared" si="37"/>
        <v>966166.19695947284</v>
      </c>
      <c r="K114" s="19">
        <f t="shared" si="38"/>
        <v>966.16619695947281</v>
      </c>
      <c r="M114" s="13" t="e">
        <f t="shared" si="30"/>
        <v>#DIV/0!</v>
      </c>
    </row>
    <row r="115" spans="1:13">
      <c r="G115">
        <f t="shared" si="31"/>
        <v>0</v>
      </c>
      <c r="H115">
        <f t="shared" si="29"/>
        <v>0</v>
      </c>
      <c r="I115">
        <f t="shared" si="36"/>
        <v>0</v>
      </c>
      <c r="J115">
        <f t="shared" si="37"/>
        <v>0</v>
      </c>
      <c r="K115" s="19">
        <f t="shared" si="38"/>
        <v>0</v>
      </c>
      <c r="M115" s="13" t="e">
        <f t="shared" si="30"/>
        <v>#DIV/0!</v>
      </c>
    </row>
    <row r="116" spans="1:13">
      <c r="A116" t="s">
        <v>113</v>
      </c>
      <c r="B116" t="s">
        <v>111</v>
      </c>
      <c r="C116">
        <v>13.4</v>
      </c>
      <c r="D116">
        <v>13.4</v>
      </c>
      <c r="E116">
        <f>(D116-1.8525)/0.0746</f>
        <v>154.79222520107237</v>
      </c>
      <c r="G116">
        <f t="shared" si="31"/>
        <v>2623.5970373063114</v>
      </c>
      <c r="H116">
        <f t="shared" si="29"/>
        <v>2.6235970373063116</v>
      </c>
      <c r="I116">
        <f t="shared" si="36"/>
        <v>46.849947094755564</v>
      </c>
      <c r="J116">
        <f t="shared" si="37"/>
        <v>46849.94709475556</v>
      </c>
      <c r="K116" s="18">
        <f t="shared" si="38"/>
        <v>46.849947094755564</v>
      </c>
      <c r="L116" s="11">
        <v>0.2697</v>
      </c>
      <c r="M116" s="13">
        <f t="shared" si="30"/>
        <v>173.71133516779963</v>
      </c>
    </row>
    <row r="117" spans="1:13">
      <c r="B117" t="s">
        <v>112</v>
      </c>
      <c r="C117">
        <v>37.1</v>
      </c>
      <c r="D117">
        <v>37.1</v>
      </c>
      <c r="E117">
        <f t="shared" si="39"/>
        <v>472.48659517426279</v>
      </c>
      <c r="G117">
        <f t="shared" si="31"/>
        <v>8008.2473758349615</v>
      </c>
      <c r="H117">
        <f t="shared" si="29"/>
        <v>8.0082473758349622</v>
      </c>
      <c r="I117">
        <f t="shared" si="36"/>
        <v>143.00441742562433</v>
      </c>
      <c r="J117">
        <f t="shared" si="37"/>
        <v>143004.41742562433</v>
      </c>
      <c r="K117" s="19">
        <f t="shared" si="38"/>
        <v>143.00441742562433</v>
      </c>
      <c r="L117" s="11">
        <v>0.2697</v>
      </c>
      <c r="M117" s="13">
        <f t="shared" si="30"/>
        <v>530.2351406215214</v>
      </c>
    </row>
    <row r="118" spans="1:13">
      <c r="B118" t="s">
        <v>104</v>
      </c>
      <c r="C118">
        <v>22.4</v>
      </c>
      <c r="D118">
        <v>22.4</v>
      </c>
      <c r="E118">
        <f t="shared" si="39"/>
        <v>275.43565683646113</v>
      </c>
      <c r="G118">
        <f t="shared" si="31"/>
        <v>4668.4009633298492</v>
      </c>
      <c r="H118">
        <f t="shared" si="29"/>
        <v>4.6684009633298489</v>
      </c>
      <c r="I118">
        <f t="shared" si="36"/>
        <v>83.364302916604444</v>
      </c>
      <c r="J118">
        <f t="shared" si="37"/>
        <v>83364.302916604443</v>
      </c>
      <c r="K118" s="19">
        <f t="shared" si="38"/>
        <v>83.364302916604444</v>
      </c>
      <c r="M118" s="13" t="e">
        <f t="shared" si="30"/>
        <v>#DIV/0!</v>
      </c>
    </row>
    <row r="119" spans="1:13">
      <c r="B119" t="s">
        <v>19</v>
      </c>
      <c r="C119">
        <v>205</v>
      </c>
      <c r="D119">
        <v>205</v>
      </c>
      <c r="E119">
        <f t="shared" si="39"/>
        <v>2723.1568364611262</v>
      </c>
      <c r="G119">
        <f t="shared" si="31"/>
        <v>46155.200617985189</v>
      </c>
      <c r="H119">
        <f t="shared" si="29"/>
        <v>46.155200617985187</v>
      </c>
      <c r="I119">
        <f t="shared" si="36"/>
        <v>824.20001103544973</v>
      </c>
      <c r="J119">
        <f t="shared" si="37"/>
        <v>824200.01103544969</v>
      </c>
      <c r="K119" s="19">
        <f t="shared" si="38"/>
        <v>824.20001103544973</v>
      </c>
      <c r="M119" s="13" t="e">
        <f t="shared" si="30"/>
        <v>#DIV/0!</v>
      </c>
    </row>
    <row r="120" spans="1:13">
      <c r="G120">
        <f t="shared" si="31"/>
        <v>0</v>
      </c>
      <c r="H120">
        <f t="shared" si="29"/>
        <v>0</v>
      </c>
      <c r="I120">
        <f t="shared" si="36"/>
        <v>0</v>
      </c>
      <c r="J120">
        <f t="shared" si="37"/>
        <v>0</v>
      </c>
      <c r="K120" s="19">
        <f t="shared" si="38"/>
        <v>0</v>
      </c>
      <c r="M120" s="13" t="e">
        <f t="shared" si="30"/>
        <v>#DIV/0!</v>
      </c>
    </row>
    <row r="121" spans="1:13">
      <c r="A121" s="1">
        <v>40264</v>
      </c>
      <c r="B121" t="s">
        <v>115</v>
      </c>
      <c r="C121">
        <v>78.3</v>
      </c>
      <c r="D121">
        <v>78.3</v>
      </c>
      <c r="E121">
        <f>(D121-2.4819)/0.02</f>
        <v>3790.9050000000002</v>
      </c>
      <c r="G121">
        <f t="shared" si="31"/>
        <v>64252.627118644072</v>
      </c>
      <c r="H121">
        <f t="shared" si="29"/>
        <v>64.252627118644071</v>
      </c>
      <c r="I121">
        <f t="shared" si="36"/>
        <v>1147.3683414043585</v>
      </c>
      <c r="J121">
        <f t="shared" si="37"/>
        <v>1147368.3414043584</v>
      </c>
      <c r="K121" s="18">
        <f t="shared" si="38"/>
        <v>1147.3683414043585</v>
      </c>
      <c r="L121" s="11">
        <v>0.18340000000000001</v>
      </c>
      <c r="M121" s="13">
        <f t="shared" si="30"/>
        <v>6256.0978266322709</v>
      </c>
    </row>
    <row r="122" spans="1:13">
      <c r="A122" t="s">
        <v>114</v>
      </c>
      <c r="B122" t="s">
        <v>116</v>
      </c>
      <c r="C122">
        <v>167</v>
      </c>
      <c r="D122">
        <v>167</v>
      </c>
      <c r="E122">
        <f t="shared" ref="E122:E124" si="41">(C122-2.4819)/0.02</f>
        <v>8225.9050000000007</v>
      </c>
      <c r="G122">
        <f t="shared" si="31"/>
        <v>139422.11864406781</v>
      </c>
      <c r="H122">
        <f t="shared" si="29"/>
        <v>139.42211864406781</v>
      </c>
      <c r="I122">
        <f t="shared" si="36"/>
        <v>2489.6806900726392</v>
      </c>
      <c r="J122">
        <f t="shared" si="37"/>
        <v>2489680.6900726394</v>
      </c>
      <c r="K122" s="19">
        <f t="shared" si="38"/>
        <v>2489.6806900726392</v>
      </c>
      <c r="L122" s="11">
        <v>0.18340000000000001</v>
      </c>
      <c r="M122" s="13">
        <f t="shared" si="30"/>
        <v>13575.140076731946</v>
      </c>
    </row>
    <row r="123" spans="1:13">
      <c r="B123" t="s">
        <v>104</v>
      </c>
      <c r="C123">
        <v>22</v>
      </c>
      <c r="D123">
        <v>22</v>
      </c>
      <c r="E123">
        <f t="shared" si="41"/>
        <v>975.90499999999997</v>
      </c>
      <c r="G123">
        <f t="shared" si="31"/>
        <v>16540.762711864405</v>
      </c>
      <c r="H123">
        <f t="shared" si="29"/>
        <v>16.540762711864406</v>
      </c>
      <c r="I123">
        <f t="shared" si="36"/>
        <v>295.37076271186442</v>
      </c>
      <c r="J123">
        <f t="shared" si="37"/>
        <v>295370.76271186443</v>
      </c>
      <c r="K123" s="19">
        <f t="shared" si="38"/>
        <v>295.37076271186442</v>
      </c>
      <c r="M123" s="13" t="e">
        <f t="shared" si="30"/>
        <v>#DIV/0!</v>
      </c>
    </row>
    <row r="124" spans="1:13">
      <c r="B124" t="s">
        <v>117</v>
      </c>
      <c r="C124">
        <v>287</v>
      </c>
      <c r="D124">
        <v>287</v>
      </c>
      <c r="E124">
        <f t="shared" si="41"/>
        <v>14225.905000000001</v>
      </c>
      <c r="G124">
        <f t="shared" si="31"/>
        <v>241117.03389830509</v>
      </c>
      <c r="H124">
        <f t="shared" si="29"/>
        <v>241.1170338983051</v>
      </c>
      <c r="I124">
        <f t="shared" si="36"/>
        <v>4305.6613196125909</v>
      </c>
      <c r="J124">
        <f t="shared" si="37"/>
        <v>4305661.3196125906</v>
      </c>
      <c r="K124" s="19">
        <f t="shared" si="38"/>
        <v>4305.6613196125909</v>
      </c>
      <c r="M124" s="13" t="e">
        <f t="shared" si="30"/>
        <v>#DIV/0!</v>
      </c>
    </row>
    <row r="125" spans="1:13">
      <c r="G125">
        <f t="shared" si="31"/>
        <v>0</v>
      </c>
      <c r="H125">
        <f t="shared" si="29"/>
        <v>0</v>
      </c>
      <c r="I125">
        <f t="shared" si="36"/>
        <v>0</v>
      </c>
      <c r="J125">
        <f t="shared" si="37"/>
        <v>0</v>
      </c>
      <c r="K125" s="19">
        <f t="shared" si="38"/>
        <v>0</v>
      </c>
      <c r="M125" s="13" t="e">
        <f t="shared" si="30"/>
        <v>#DIV/0!</v>
      </c>
    </row>
    <row r="126" spans="1:13">
      <c r="A126" s="1">
        <v>40291</v>
      </c>
      <c r="B126" t="s">
        <v>119</v>
      </c>
      <c r="C126">
        <v>0.38</v>
      </c>
      <c r="D126">
        <v>0.38</v>
      </c>
      <c r="E126">
        <f>(D126+3.8007)/0.1067</f>
        <v>39.18181818181818</v>
      </c>
      <c r="G126">
        <f t="shared" si="31"/>
        <v>664.0986132511556</v>
      </c>
      <c r="H126">
        <f t="shared" si="29"/>
        <v>0.6640986132511556</v>
      </c>
      <c r="I126">
        <f t="shared" si="36"/>
        <v>11.85890380805635</v>
      </c>
      <c r="J126">
        <f t="shared" si="37"/>
        <v>11858.90380805635</v>
      </c>
      <c r="K126" s="18">
        <f t="shared" si="38"/>
        <v>11.85890380805635</v>
      </c>
      <c r="L126" s="11">
        <v>0.22370000000000001</v>
      </c>
      <c r="M126" s="13">
        <f t="shared" si="30"/>
        <v>53.012533786572867</v>
      </c>
    </row>
    <row r="127" spans="1:13">
      <c r="A127" t="s">
        <v>118</v>
      </c>
      <c r="B127" t="s">
        <v>120</v>
      </c>
      <c r="C127">
        <v>68.2</v>
      </c>
      <c r="D127">
        <v>68.2</v>
      </c>
      <c r="E127">
        <f t="shared" ref="E127:E131" si="42">(C127+3.8007)/0.1067</f>
        <v>674.79568884723528</v>
      </c>
      <c r="G127">
        <f t="shared" si="31"/>
        <v>11437.215065207378</v>
      </c>
      <c r="H127">
        <f t="shared" si="29"/>
        <v>11.437215065207377</v>
      </c>
      <c r="I127">
        <f t="shared" si="36"/>
        <v>204.23598330727458</v>
      </c>
      <c r="J127">
        <f t="shared" si="37"/>
        <v>204235.98330727458</v>
      </c>
      <c r="K127" s="19">
        <f t="shared" si="38"/>
        <v>204.23598330727458</v>
      </c>
      <c r="L127" s="11">
        <v>0.22370000000000001</v>
      </c>
      <c r="M127" s="13">
        <f t="shared" si="30"/>
        <v>912.99053780632357</v>
      </c>
    </row>
    <row r="128" spans="1:13">
      <c r="B128" t="s">
        <v>121</v>
      </c>
      <c r="C128">
        <v>15.5</v>
      </c>
      <c r="D128">
        <v>15.5</v>
      </c>
      <c r="E128">
        <f>(D128+3.8007)/0.1067</f>
        <v>180.88753514526709</v>
      </c>
      <c r="G128">
        <f t="shared" si="31"/>
        <v>3065.8904261909679</v>
      </c>
      <c r="H128">
        <f t="shared" si="29"/>
        <v>3.0658904261909679</v>
      </c>
      <c r="I128">
        <f t="shared" si="36"/>
        <v>54.748043324838711</v>
      </c>
      <c r="J128">
        <f t="shared" si="37"/>
        <v>54748.043324838713</v>
      </c>
      <c r="K128" s="18">
        <f t="shared" si="38"/>
        <v>54.748043324838711</v>
      </c>
      <c r="L128" s="11">
        <v>0.20580000000000001</v>
      </c>
      <c r="M128" s="13">
        <f t="shared" si="30"/>
        <v>266.0254777688956</v>
      </c>
    </row>
    <row r="129" spans="1:17">
      <c r="A129" t="s">
        <v>123</v>
      </c>
      <c r="B129" t="s">
        <v>122</v>
      </c>
      <c r="C129">
        <v>44.5</v>
      </c>
      <c r="D129">
        <v>44.5</v>
      </c>
      <c r="E129">
        <f t="shared" si="42"/>
        <v>452.6776007497657</v>
      </c>
      <c r="G129">
        <f t="shared" si="31"/>
        <v>7672.501707623147</v>
      </c>
      <c r="H129">
        <f t="shared" si="29"/>
        <v>7.6725017076231472</v>
      </c>
      <c r="I129">
        <f t="shared" si="36"/>
        <v>137.00895906469904</v>
      </c>
      <c r="J129">
        <f t="shared" si="37"/>
        <v>137008.95906469904</v>
      </c>
      <c r="K129" s="19">
        <f t="shared" si="38"/>
        <v>137.00895906469904</v>
      </c>
      <c r="L129" s="11">
        <v>0.20580000000000001</v>
      </c>
      <c r="M129" s="13">
        <f t="shared" si="30"/>
        <v>665.73838223857649</v>
      </c>
    </row>
    <row r="130" spans="1:17">
      <c r="B130" t="s">
        <v>104</v>
      </c>
      <c r="C130">
        <v>22.3</v>
      </c>
      <c r="D130">
        <v>22.3</v>
      </c>
      <c r="E130">
        <f t="shared" si="42"/>
        <v>244.61761949390814</v>
      </c>
      <c r="G130">
        <f t="shared" si="31"/>
        <v>4146.0613473543754</v>
      </c>
      <c r="H130">
        <f t="shared" si="29"/>
        <v>4.146061347354375</v>
      </c>
      <c r="I130">
        <f t="shared" si="36"/>
        <v>74.036809774185272</v>
      </c>
      <c r="J130">
        <f t="shared" si="37"/>
        <v>74036.809774185269</v>
      </c>
      <c r="K130" s="19">
        <f t="shared" si="38"/>
        <v>74.036809774185272</v>
      </c>
      <c r="M130" s="13" t="e">
        <f t="shared" si="30"/>
        <v>#DIV/0!</v>
      </c>
    </row>
    <row r="131" spans="1:17">
      <c r="B131" t="s">
        <v>9</v>
      </c>
      <c r="C131">
        <v>254</v>
      </c>
      <c r="D131">
        <v>254</v>
      </c>
      <c r="E131">
        <f t="shared" si="42"/>
        <v>2416.1265229615747</v>
      </c>
      <c r="G131">
        <f t="shared" si="31"/>
        <v>40951.29699934872</v>
      </c>
      <c r="H131">
        <f t="shared" si="29"/>
        <v>40.95129699934872</v>
      </c>
      <c r="I131">
        <f t="shared" si="36"/>
        <v>731.27316070265567</v>
      </c>
      <c r="J131">
        <f t="shared" si="37"/>
        <v>731273.16070265567</v>
      </c>
      <c r="K131" s="19">
        <f t="shared" si="38"/>
        <v>731.27316070265567</v>
      </c>
      <c r="M131" s="13" t="e">
        <f t="shared" si="30"/>
        <v>#DIV/0!</v>
      </c>
    </row>
    <row r="134" spans="1:17">
      <c r="A134" s="15" t="s">
        <v>68</v>
      </c>
      <c r="B134" s="15" t="s">
        <v>1</v>
      </c>
      <c r="D134" s="15" t="s">
        <v>143</v>
      </c>
      <c r="E134" s="15" t="s">
        <v>144</v>
      </c>
      <c r="F134" s="15" t="s">
        <v>145</v>
      </c>
      <c r="G134" s="15" t="s">
        <v>73</v>
      </c>
      <c r="H134" s="15"/>
      <c r="I134" s="15" t="s">
        <v>74</v>
      </c>
      <c r="J134" s="15" t="s">
        <v>75</v>
      </c>
      <c r="K134" s="15" t="s">
        <v>76</v>
      </c>
      <c r="L134" s="15" t="s">
        <v>77</v>
      </c>
      <c r="M134" s="15" t="s">
        <v>3</v>
      </c>
      <c r="N134" t="s">
        <v>142</v>
      </c>
      <c r="Q134" s="15" t="s">
        <v>146</v>
      </c>
    </row>
    <row r="135" spans="1:17">
      <c r="A135" s="1">
        <v>39808</v>
      </c>
      <c r="B135" t="s">
        <v>147</v>
      </c>
      <c r="D135">
        <v>12.5</v>
      </c>
      <c r="F135">
        <v>12.5</v>
      </c>
      <c r="G135">
        <f>(F135-0.6811)/0.043</f>
        <v>274.85813953488372</v>
      </c>
      <c r="I135">
        <f>(G135/(5.9*10^13))*(1*10^15)</f>
        <v>4658.6125344895545</v>
      </c>
      <c r="J135">
        <f>I135/1000</f>
        <v>4.6586125344895546</v>
      </c>
      <c r="K135">
        <f>J135/0.056</f>
        <v>83.189509544456328</v>
      </c>
      <c r="L135">
        <f>K135*1000</f>
        <v>83189.509544456334</v>
      </c>
      <c r="M135">
        <f>L135/1000</f>
        <v>83.189509544456328</v>
      </c>
      <c r="N135">
        <f>M135-M137</f>
        <v>43.851005124162398</v>
      </c>
      <c r="Q135">
        <f>M136-M135</f>
        <v>52.790134579649774</v>
      </c>
    </row>
    <row r="136" spans="1:17">
      <c r="B136" t="s">
        <v>148</v>
      </c>
      <c r="D136">
        <v>63</v>
      </c>
      <c r="E136" t="s">
        <v>149</v>
      </c>
      <c r="F136">
        <v>20</v>
      </c>
      <c r="G136">
        <f t="shared" ref="G136:G138" si="43">(F136-0.6811)/0.043</f>
        <v>449.27674418604653</v>
      </c>
      <c r="I136">
        <f t="shared" ref="I136:I158" si="44">(G136/(5.9*10^13))*(1*10^15)</f>
        <v>7614.8600709499415</v>
      </c>
      <c r="J136">
        <f t="shared" ref="J136:J158" si="45">I136/1000</f>
        <v>7.6148600709499412</v>
      </c>
      <c r="K136">
        <f t="shared" ref="K136:K158" si="46">J136/0.056</f>
        <v>135.9796441241061</v>
      </c>
      <c r="L136">
        <f t="shared" ref="L136:L158" si="47">K136*1000</f>
        <v>135979.6441241061</v>
      </c>
      <c r="M136">
        <f t="shared" ref="M136:M158" si="48">L136/1000</f>
        <v>135.9796441241061</v>
      </c>
    </row>
    <row r="137" spans="1:17">
      <c r="B137" t="s">
        <v>150</v>
      </c>
      <c r="D137">
        <v>-29.23</v>
      </c>
      <c r="E137" t="s">
        <v>151</v>
      </c>
      <c r="F137">
        <v>6.27</v>
      </c>
      <c r="G137">
        <f t="shared" si="43"/>
        <v>129.97441860465116</v>
      </c>
      <c r="I137">
        <f t="shared" si="44"/>
        <v>2202.9562475364601</v>
      </c>
      <c r="J137">
        <f t="shared" si="45"/>
        <v>2.2029562475364601</v>
      </c>
      <c r="K137">
        <f t="shared" si="46"/>
        <v>39.33850442029393</v>
      </c>
      <c r="L137">
        <f t="shared" si="47"/>
        <v>39338.504420293932</v>
      </c>
      <c r="M137">
        <f t="shared" si="48"/>
        <v>39.33850442029393</v>
      </c>
      <c r="Q137">
        <f>M138-M137</f>
        <v>11.191508530885763</v>
      </c>
    </row>
    <row r="138" spans="1:17">
      <c r="B138" t="s">
        <v>152</v>
      </c>
      <c r="D138">
        <v>7.86</v>
      </c>
      <c r="E138" t="s">
        <v>153</v>
      </c>
      <c r="F138">
        <v>7.86</v>
      </c>
      <c r="G138">
        <f t="shared" si="43"/>
        <v>166.95116279069771</v>
      </c>
      <c r="I138">
        <f t="shared" si="44"/>
        <v>2829.6807252660628</v>
      </c>
      <c r="J138">
        <f t="shared" si="45"/>
        <v>2.829680725266063</v>
      </c>
      <c r="K138">
        <f t="shared" si="46"/>
        <v>50.530012951179692</v>
      </c>
      <c r="L138">
        <f t="shared" si="47"/>
        <v>50530.012951179691</v>
      </c>
      <c r="M138">
        <f t="shared" si="48"/>
        <v>50.530012951179692</v>
      </c>
    </row>
    <row r="139" spans="1:17">
      <c r="K139"/>
      <c r="M139"/>
    </row>
    <row r="140" spans="1:17">
      <c r="A140" s="1">
        <v>40174</v>
      </c>
      <c r="B140" t="s">
        <v>154</v>
      </c>
      <c r="D140">
        <v>9.9</v>
      </c>
      <c r="F140">
        <v>9.9</v>
      </c>
      <c r="G140">
        <f>(F140-0.1918)/0.0921</f>
        <v>105.40933767643865</v>
      </c>
      <c r="I140">
        <f t="shared" si="44"/>
        <v>1786.5989436684517</v>
      </c>
      <c r="J140">
        <f t="shared" si="45"/>
        <v>1.7865989436684517</v>
      </c>
      <c r="K140">
        <f t="shared" si="46"/>
        <v>31.903552565508065</v>
      </c>
      <c r="L140">
        <f t="shared" si="47"/>
        <v>31903.552565508064</v>
      </c>
      <c r="M140">
        <f t="shared" si="48"/>
        <v>31.903552565508065</v>
      </c>
      <c r="N140">
        <f>M140-M142</f>
        <v>-65.626372008528463</v>
      </c>
      <c r="Q140">
        <f>M141-M140</f>
        <v>9.530119119916499</v>
      </c>
    </row>
    <row r="141" spans="1:17">
      <c r="B141" t="s">
        <v>155</v>
      </c>
      <c r="D141">
        <v>24.72</v>
      </c>
      <c r="E141" t="s">
        <v>156</v>
      </c>
      <c r="F141">
        <v>12.8</v>
      </c>
      <c r="G141">
        <f t="shared" ref="G141:G143" si="49">(F141-0.1918)/0.0921</f>
        <v>136.89685124864278</v>
      </c>
      <c r="I141">
        <f t="shared" si="44"/>
        <v>2320.2856143837757</v>
      </c>
      <c r="J141">
        <f t="shared" si="45"/>
        <v>2.3202856143837756</v>
      </c>
      <c r="K141">
        <f t="shared" si="46"/>
        <v>41.433671685424564</v>
      </c>
      <c r="L141">
        <f t="shared" si="47"/>
        <v>41433.671685424561</v>
      </c>
      <c r="M141">
        <f t="shared" si="48"/>
        <v>41.433671685424564</v>
      </c>
    </row>
    <row r="142" spans="1:17">
      <c r="B142" t="s">
        <v>157</v>
      </c>
      <c r="D142">
        <v>29.87</v>
      </c>
      <c r="F142">
        <v>29.87</v>
      </c>
      <c r="G142">
        <f t="shared" si="49"/>
        <v>322.23887079261669</v>
      </c>
      <c r="I142">
        <f t="shared" si="44"/>
        <v>5461.6757761460458</v>
      </c>
      <c r="J142">
        <f t="shared" si="45"/>
        <v>5.4616757761460457</v>
      </c>
      <c r="K142">
        <f t="shared" si="46"/>
        <v>97.529924574036528</v>
      </c>
      <c r="L142">
        <f t="shared" si="47"/>
        <v>97529.92457403653</v>
      </c>
      <c r="M142">
        <f t="shared" si="48"/>
        <v>97.529924574036528</v>
      </c>
      <c r="Q142">
        <f>M143-M142</f>
        <v>-52.481380118988461</v>
      </c>
    </row>
    <row r="143" spans="1:17">
      <c r="B143" t="s">
        <v>158</v>
      </c>
      <c r="D143">
        <v>14.17</v>
      </c>
      <c r="E143" t="s">
        <v>159</v>
      </c>
      <c r="F143">
        <v>13.9</v>
      </c>
      <c r="G143">
        <f t="shared" si="49"/>
        <v>148.84039087947883</v>
      </c>
      <c r="I143">
        <f t="shared" si="44"/>
        <v>2522.7184894826919</v>
      </c>
      <c r="J143">
        <f t="shared" si="45"/>
        <v>2.522718489482692</v>
      </c>
      <c r="K143">
        <f t="shared" si="46"/>
        <v>45.048544455048066</v>
      </c>
      <c r="L143">
        <f t="shared" si="47"/>
        <v>45048.544455048068</v>
      </c>
      <c r="M143">
        <f t="shared" si="48"/>
        <v>45.048544455048066</v>
      </c>
    </row>
    <row r="144" spans="1:17">
      <c r="K144"/>
      <c r="M144"/>
    </row>
    <row r="145" spans="1:17">
      <c r="A145" s="1">
        <v>39814</v>
      </c>
      <c r="B145" t="s">
        <v>160</v>
      </c>
      <c r="D145">
        <v>-0.3</v>
      </c>
      <c r="F145">
        <v>-0.3</v>
      </c>
      <c r="G145">
        <f>(F145-3.3873)/0.0813</f>
        <v>-45.354243542435427</v>
      </c>
      <c r="I145">
        <f t="shared" si="44"/>
        <v>-768.71599224466831</v>
      </c>
      <c r="J145">
        <f t="shared" si="45"/>
        <v>-0.76871599224466836</v>
      </c>
      <c r="K145">
        <f t="shared" si="46"/>
        <v>-13.727071290083364</v>
      </c>
      <c r="L145">
        <f t="shared" si="47"/>
        <v>-13727.071290083364</v>
      </c>
      <c r="M145">
        <f t="shared" si="48"/>
        <v>-13.727071290083364</v>
      </c>
      <c r="N145">
        <f>M145-M147</f>
        <v>-77.061908633614181</v>
      </c>
      <c r="Q145">
        <f>M146-M145</f>
        <v>47.651808237210716</v>
      </c>
    </row>
    <row r="146" spans="1:17">
      <c r="B146" t="s">
        <v>161</v>
      </c>
      <c r="D146">
        <v>12.5</v>
      </c>
      <c r="F146">
        <v>12.5</v>
      </c>
      <c r="G146">
        <f t="shared" ref="G146:G148" si="50">(F146-3.3873)/0.0813</f>
        <v>112.08733087330874</v>
      </c>
      <c r="I146">
        <f t="shared" si="44"/>
        <v>1899.7852690391314</v>
      </c>
      <c r="J146">
        <f t="shared" si="45"/>
        <v>1.8997852690391315</v>
      </c>
      <c r="K146">
        <f t="shared" si="46"/>
        <v>33.92473694712735</v>
      </c>
      <c r="L146">
        <f t="shared" si="47"/>
        <v>33924.736947127349</v>
      </c>
      <c r="M146">
        <f t="shared" si="48"/>
        <v>33.92473694712735</v>
      </c>
    </row>
    <row r="147" spans="1:17">
      <c r="B147" t="s">
        <v>162</v>
      </c>
      <c r="D147">
        <v>-39.26</v>
      </c>
      <c r="E147" t="s">
        <v>163</v>
      </c>
      <c r="F147">
        <v>20.399999999999999</v>
      </c>
      <c r="G147">
        <f t="shared" si="50"/>
        <v>209.25830258302582</v>
      </c>
      <c r="I147">
        <f t="shared" si="44"/>
        <v>3546.7508912377261</v>
      </c>
      <c r="J147">
        <f t="shared" si="45"/>
        <v>3.5467508912377261</v>
      </c>
      <c r="K147">
        <f t="shared" si="46"/>
        <v>63.334837343530822</v>
      </c>
      <c r="L147">
        <f t="shared" si="47"/>
        <v>63334.837343530824</v>
      </c>
      <c r="M147">
        <f t="shared" si="48"/>
        <v>63.334837343530822</v>
      </c>
      <c r="Q147">
        <f>M148-M147</f>
        <v>-45.418129726091458</v>
      </c>
    </row>
    <row r="148" spans="1:17">
      <c r="B148" t="s">
        <v>164</v>
      </c>
      <c r="D148">
        <v>8.26</v>
      </c>
      <c r="E148" t="s">
        <v>165</v>
      </c>
      <c r="F148">
        <v>8.1999999999999993</v>
      </c>
      <c r="G148">
        <f t="shared" si="50"/>
        <v>59.196801968019678</v>
      </c>
      <c r="I148">
        <f t="shared" si="44"/>
        <v>1003.3356265766048</v>
      </c>
      <c r="J148">
        <f t="shared" si="45"/>
        <v>1.0033356265766047</v>
      </c>
      <c r="K148">
        <f t="shared" si="46"/>
        <v>17.916707617439368</v>
      </c>
      <c r="L148">
        <f t="shared" si="47"/>
        <v>17916.707617439366</v>
      </c>
      <c r="M148">
        <f t="shared" si="48"/>
        <v>17.916707617439364</v>
      </c>
    </row>
    <row r="149" spans="1:17">
      <c r="K149"/>
      <c r="M149"/>
    </row>
    <row r="150" spans="1:17">
      <c r="A150" s="1">
        <v>39819</v>
      </c>
      <c r="B150" t="s">
        <v>166</v>
      </c>
      <c r="D150">
        <v>6.28</v>
      </c>
      <c r="F150">
        <v>6.28</v>
      </c>
      <c r="G150">
        <f>(F150-3.1961)/0.0828</f>
        <v>37.245169082125607</v>
      </c>
      <c r="I150">
        <f t="shared" si="44"/>
        <v>631.27405223941707</v>
      </c>
      <c r="J150">
        <f t="shared" si="45"/>
        <v>0.63127405223941713</v>
      </c>
      <c r="K150">
        <f t="shared" si="46"/>
        <v>11.272750932846733</v>
      </c>
      <c r="L150">
        <f t="shared" si="47"/>
        <v>11272.750932846733</v>
      </c>
      <c r="M150">
        <f t="shared" si="48"/>
        <v>11.272750932846733</v>
      </c>
      <c r="N150">
        <f>M150-M152</f>
        <v>-5.2637119696810153</v>
      </c>
      <c r="Q150">
        <f>M151-M150</f>
        <v>36.99219800914716</v>
      </c>
    </row>
    <row r="151" spans="1:17">
      <c r="B151" t="s">
        <v>167</v>
      </c>
      <c r="D151">
        <v>16.399999999999999</v>
      </c>
      <c r="F151">
        <v>16.399999999999999</v>
      </c>
      <c r="G151">
        <f t="shared" ref="G151:G153" si="51">(F151-3.1961)/0.0828</f>
        <v>159.46739130434781</v>
      </c>
      <c r="I151">
        <f t="shared" si="44"/>
        <v>2702.8371407516579</v>
      </c>
      <c r="J151">
        <f t="shared" si="45"/>
        <v>2.702837140751658</v>
      </c>
      <c r="K151">
        <f t="shared" si="46"/>
        <v>48.264948941993893</v>
      </c>
      <c r="L151">
        <f t="shared" si="47"/>
        <v>48264.948941993891</v>
      </c>
      <c r="M151">
        <f t="shared" si="48"/>
        <v>48.264948941993893</v>
      </c>
    </row>
    <row r="152" spans="1:17">
      <c r="B152" t="s">
        <v>168</v>
      </c>
      <c r="D152">
        <v>7.72</v>
      </c>
      <c r="F152">
        <v>7.72</v>
      </c>
      <c r="G152">
        <f t="shared" si="51"/>
        <v>54.636473429951685</v>
      </c>
      <c r="I152">
        <f t="shared" si="44"/>
        <v>926.04192254155407</v>
      </c>
      <c r="J152">
        <f t="shared" si="45"/>
        <v>0.92604192254155404</v>
      </c>
      <c r="K152">
        <f t="shared" si="46"/>
        <v>16.536462902527749</v>
      </c>
      <c r="L152">
        <f t="shared" si="47"/>
        <v>16536.46290252775</v>
      </c>
      <c r="M152">
        <f t="shared" si="48"/>
        <v>16.536462902527749</v>
      </c>
      <c r="Q152">
        <f>M153-M152</f>
        <v>28.804201611865583</v>
      </c>
    </row>
    <row r="153" spans="1:17">
      <c r="B153" t="s">
        <v>169</v>
      </c>
      <c r="D153">
        <v>15.6</v>
      </c>
      <c r="F153">
        <v>15.6</v>
      </c>
      <c r="G153">
        <f t="shared" si="51"/>
        <v>149.80555555555557</v>
      </c>
      <c r="I153">
        <f t="shared" si="44"/>
        <v>2539.0772128060266</v>
      </c>
      <c r="J153">
        <f t="shared" si="45"/>
        <v>2.5390772128060268</v>
      </c>
      <c r="K153">
        <f t="shared" si="46"/>
        <v>45.340664514393332</v>
      </c>
      <c r="L153">
        <f t="shared" si="47"/>
        <v>45340.664514393335</v>
      </c>
      <c r="M153">
        <f t="shared" si="48"/>
        <v>45.340664514393332</v>
      </c>
    </row>
    <row r="154" spans="1:17">
      <c r="K154"/>
      <c r="M154"/>
    </row>
    <row r="155" spans="1:17">
      <c r="A155" s="1">
        <v>39822</v>
      </c>
      <c r="B155" t="s">
        <v>170</v>
      </c>
      <c r="D155">
        <v>2.56</v>
      </c>
      <c r="E155" t="s">
        <v>171</v>
      </c>
      <c r="F155">
        <v>2.81</v>
      </c>
      <c r="G155">
        <f>(F155-0.7004)/0.0922</f>
        <v>22.880694143167027</v>
      </c>
      <c r="I155">
        <f t="shared" si="44"/>
        <v>387.8083753079157</v>
      </c>
      <c r="J155">
        <f t="shared" si="45"/>
        <v>0.38780837530791568</v>
      </c>
      <c r="K155">
        <f t="shared" si="46"/>
        <v>6.925149559069923</v>
      </c>
      <c r="L155">
        <f t="shared" si="47"/>
        <v>6925.1495590699233</v>
      </c>
      <c r="M155">
        <f t="shared" si="48"/>
        <v>6.925149559069923</v>
      </c>
      <c r="N155">
        <f>M155-M157</f>
        <v>3.0528958522634766</v>
      </c>
      <c r="Q155">
        <f>M156-M155</f>
        <v>35.748425624891674</v>
      </c>
    </row>
    <row r="156" spans="1:17">
      <c r="B156" t="s">
        <v>172</v>
      </c>
      <c r="D156">
        <v>13.7</v>
      </c>
      <c r="F156">
        <v>13.7</v>
      </c>
      <c r="G156">
        <f t="shared" ref="G156:G158" si="52">(F156-0.7004)/0.0922</f>
        <v>140.9934924078091</v>
      </c>
      <c r="I156">
        <f t="shared" si="44"/>
        <v>2389.7202103018494</v>
      </c>
      <c r="J156">
        <f t="shared" si="45"/>
        <v>2.3897202103018493</v>
      </c>
      <c r="K156">
        <f t="shared" si="46"/>
        <v>42.673575183961596</v>
      </c>
      <c r="L156">
        <f t="shared" si="47"/>
        <v>42673.575183961599</v>
      </c>
      <c r="M156">
        <f t="shared" si="48"/>
        <v>42.673575183961596</v>
      </c>
    </row>
    <row r="157" spans="1:17">
      <c r="B157" t="s">
        <v>173</v>
      </c>
      <c r="D157">
        <v>1.88</v>
      </c>
      <c r="E157" t="s">
        <v>149</v>
      </c>
      <c r="F157">
        <v>1.88</v>
      </c>
      <c r="G157">
        <f t="shared" si="52"/>
        <v>12.7939262472885</v>
      </c>
      <c r="I157">
        <f t="shared" si="44"/>
        <v>216.84620758116102</v>
      </c>
      <c r="J157">
        <f t="shared" si="45"/>
        <v>0.21684620758116102</v>
      </c>
      <c r="K157">
        <f t="shared" si="46"/>
        <v>3.8722537068064469</v>
      </c>
      <c r="L157">
        <f t="shared" si="47"/>
        <v>3872.2537068064466</v>
      </c>
      <c r="M157">
        <f t="shared" si="48"/>
        <v>3.8722537068064464</v>
      </c>
      <c r="Q157">
        <f>M158-M157</f>
        <v>66.047596287678644</v>
      </c>
    </row>
    <row r="158" spans="1:17">
      <c r="B158" t="s">
        <v>174</v>
      </c>
      <c r="D158">
        <v>22.2</v>
      </c>
      <c r="E158" t="s">
        <v>175</v>
      </c>
      <c r="F158">
        <v>22</v>
      </c>
      <c r="G158">
        <f t="shared" si="52"/>
        <v>231.01518438177874</v>
      </c>
      <c r="I158">
        <f t="shared" si="44"/>
        <v>3915.511599691165</v>
      </c>
      <c r="J158">
        <f t="shared" si="45"/>
        <v>3.9155115996911651</v>
      </c>
      <c r="K158">
        <f t="shared" si="46"/>
        <v>69.919849994485091</v>
      </c>
      <c r="L158">
        <f t="shared" si="47"/>
        <v>69919.849994485092</v>
      </c>
      <c r="M158">
        <f t="shared" si="48"/>
        <v>69.919849994485091</v>
      </c>
    </row>
  </sheetData>
  <mergeCells count="1">
    <mergeCell ref="E5:F5"/>
  </mergeCells>
  <phoneticPr fontId="4" type="noConversion"/>
  <printOptions gridLines="1"/>
  <pageMargins left="0.75" right="0.75" top="1" bottom="1" header="0.5" footer="0.5"/>
  <pageSetup scale="44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 Vmax Calc</vt:lpstr>
      <vt:lpstr>Vmax calc B4 convert</vt:lpstr>
      <vt:lpstr>8 Min OD</vt:lpstr>
      <vt:lpstr>8min OD Calc B4 Convert</vt:lpstr>
      <vt:lpstr>Vmax +H only WH</vt:lpstr>
    </vt:vector>
  </TitlesOfParts>
  <Company>OHSU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Macek</dc:creator>
  <cp:lastModifiedBy>Wohaib Hasan</cp:lastModifiedBy>
  <cp:lastPrinted>2014-05-28T01:22:39Z</cp:lastPrinted>
  <dcterms:created xsi:type="dcterms:W3CDTF">2014-04-29T19:36:27Z</dcterms:created>
  <dcterms:modified xsi:type="dcterms:W3CDTF">2015-10-07T18:24:01Z</dcterms:modified>
</cp:coreProperties>
</file>