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3655" windowHeight="1114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613" i="1"/>
  <c r="L595"/>
  <c r="K595"/>
  <c r="J595"/>
  <c r="I595"/>
  <c r="H595"/>
  <c r="G595"/>
  <c r="E595"/>
  <c r="H592"/>
  <c r="J586"/>
  <c r="I586"/>
  <c r="H586"/>
  <c r="G586"/>
  <c r="L584"/>
  <c r="G584"/>
  <c r="E584"/>
  <c r="L582"/>
  <c r="K582"/>
  <c r="I582"/>
  <c r="H582"/>
  <c r="G582"/>
  <c r="F582"/>
  <c r="E582"/>
  <c r="H577"/>
  <c r="I566"/>
  <c r="H566"/>
  <c r="H563"/>
  <c r="H560"/>
  <c r="H551"/>
  <c r="E551"/>
  <c r="K550"/>
  <c r="H550"/>
  <c r="L547"/>
  <c r="H547"/>
  <c r="G545"/>
  <c r="E544"/>
  <c r="E543"/>
  <c r="E542"/>
  <c r="I535"/>
  <c r="H535"/>
  <c r="G521"/>
  <c r="F521"/>
  <c r="I515"/>
  <c r="H508"/>
  <c r="H502"/>
  <c r="H501"/>
  <c r="L500"/>
  <c r="H500"/>
  <c r="I494"/>
  <c r="H493"/>
  <c r="F493"/>
  <c r="E493"/>
  <c r="L481"/>
  <c r="H481"/>
  <c r="H476"/>
  <c r="H475"/>
  <c r="J469"/>
  <c r="H469"/>
  <c r="L451"/>
  <c r="J451"/>
  <c r="I451"/>
  <c r="E451"/>
  <c r="J448"/>
  <c r="H448"/>
  <c r="L446"/>
  <c r="J446"/>
  <c r="H439"/>
  <c r="L437"/>
  <c r="H436"/>
  <c r="D436"/>
  <c r="L433"/>
  <c r="L430"/>
  <c r="L428"/>
  <c r="H425"/>
  <c r="H424"/>
  <c r="H422"/>
  <c r="G422"/>
  <c r="F422"/>
  <c r="E422"/>
  <c r="F421"/>
  <c r="H420"/>
  <c r="E420"/>
  <c r="E417"/>
  <c r="H413"/>
  <c r="G413"/>
  <c r="L406"/>
  <c r="J394"/>
  <c r="E394"/>
  <c r="F384"/>
  <c r="L383"/>
  <c r="H383"/>
  <c r="E369"/>
  <c r="H368"/>
  <c r="G368"/>
  <c r="H366"/>
  <c r="J346"/>
  <c r="F337"/>
  <c r="H336"/>
  <c r="H335"/>
  <c r="L331"/>
  <c r="H331"/>
  <c r="I327"/>
  <c r="H327"/>
  <c r="L325"/>
  <c r="H325"/>
  <c r="G323"/>
  <c r="F323"/>
  <c r="E323"/>
  <c r="H317"/>
  <c r="I314"/>
  <c r="G314"/>
  <c r="E314"/>
  <c r="L312"/>
  <c r="K312"/>
  <c r="I312"/>
  <c r="H312"/>
  <c r="H311"/>
  <c r="E311"/>
  <c r="H310"/>
  <c r="E310"/>
  <c r="F309"/>
  <c r="E309"/>
  <c r="I308"/>
  <c r="F308"/>
  <c r="I307"/>
  <c r="F307"/>
  <c r="F306"/>
  <c r="F305"/>
  <c r="F304"/>
  <c r="F303"/>
  <c r="F302"/>
  <c r="L300"/>
  <c r="J300"/>
  <c r="I300"/>
  <c r="H300"/>
  <c r="G300"/>
  <c r="E300"/>
  <c r="I295"/>
  <c r="H289"/>
  <c r="E289"/>
  <c r="L286"/>
  <c r="H286"/>
  <c r="E286"/>
  <c r="G283"/>
  <c r="F283"/>
  <c r="G280"/>
  <c r="F280"/>
  <c r="E280"/>
  <c r="J275"/>
  <c r="G275"/>
  <c r="I274"/>
  <c r="H274"/>
  <c r="G274"/>
  <c r="F274"/>
  <c r="J271"/>
  <c r="L264"/>
  <c r="K264"/>
  <c r="I264"/>
  <c r="H264"/>
  <c r="J261"/>
  <c r="H259"/>
  <c r="H257"/>
  <c r="L247"/>
  <c r="I247"/>
  <c r="C244"/>
  <c r="L243"/>
  <c r="H243"/>
  <c r="F243"/>
  <c r="E243"/>
  <c r="G242"/>
  <c r="F242"/>
  <c r="H241"/>
  <c r="I240"/>
  <c r="D239"/>
  <c r="I235"/>
  <c r="J231"/>
  <c r="I231"/>
  <c r="L225"/>
  <c r="K216"/>
  <c r="I216"/>
  <c r="H216"/>
  <c r="H210"/>
  <c r="H208"/>
  <c r="G208"/>
  <c r="F208"/>
  <c r="E208"/>
  <c r="H207"/>
  <c r="G207"/>
  <c r="F207"/>
  <c r="E207"/>
  <c r="H206"/>
  <c r="G206"/>
  <c r="E206"/>
  <c r="I205"/>
  <c r="H205"/>
  <c r="L200"/>
  <c r="L193"/>
  <c r="H193"/>
  <c r="I192"/>
  <c r="G192"/>
  <c r="E192"/>
  <c r="I190"/>
  <c r="H189"/>
  <c r="I181"/>
  <c r="H180"/>
  <c r="K164"/>
  <c r="I142"/>
  <c r="L141"/>
  <c r="L139"/>
  <c r="F139"/>
  <c r="K138"/>
  <c r="J138"/>
  <c r="I138"/>
  <c r="H138"/>
  <c r="G138"/>
  <c r="E138"/>
  <c r="L137"/>
  <c r="H137"/>
  <c r="L136"/>
  <c r="H136"/>
  <c r="L135"/>
  <c r="L123"/>
  <c r="H123"/>
  <c r="E113"/>
  <c r="L112"/>
  <c r="H112"/>
  <c r="F112"/>
  <c r="E112"/>
  <c r="H103"/>
  <c r="E103"/>
  <c r="E102"/>
  <c r="H84"/>
  <c r="E84"/>
  <c r="H79"/>
  <c r="J71"/>
  <c r="L60"/>
  <c r="K60"/>
  <c r="I60"/>
  <c r="H60"/>
  <c r="F60"/>
  <c r="E60"/>
  <c r="H57"/>
  <c r="H54"/>
  <c r="H49"/>
  <c r="L43"/>
  <c r="I43"/>
  <c r="H43"/>
  <c r="E36"/>
  <c r="G35"/>
  <c r="E35"/>
  <c r="G34"/>
  <c r="E34"/>
  <c r="J30"/>
  <c r="H30"/>
  <c r="E30"/>
  <c r="H29"/>
  <c r="L28"/>
  <c r="H28"/>
  <c r="G20"/>
  <c r="F20"/>
  <c r="E20"/>
  <c r="E18"/>
  <c r="I11"/>
</calcChain>
</file>

<file path=xl/sharedStrings.xml><?xml version="1.0" encoding="utf-8"?>
<sst xmlns="http://schemas.openxmlformats.org/spreadsheetml/2006/main" count="1775" uniqueCount="613">
  <si>
    <t>Study records</t>
    <phoneticPr fontId="2" type="noConversion"/>
  </si>
  <si>
    <t>Province</t>
    <phoneticPr fontId="3" type="noConversion"/>
  </si>
  <si>
    <t>Potential sources</t>
    <phoneticPr fontId="2" type="noConversion"/>
  </si>
  <si>
    <t>Number of soil samples</t>
    <phoneticPr fontId="3" type="noConversion"/>
  </si>
  <si>
    <t>Cu</t>
    <phoneticPr fontId="3" type="noConversion"/>
  </si>
  <si>
    <t>Pb</t>
    <phoneticPr fontId="3" type="noConversion"/>
  </si>
  <si>
    <t>Zn</t>
    <phoneticPr fontId="3" type="noConversion"/>
  </si>
  <si>
    <t>Cd</t>
    <phoneticPr fontId="3" type="noConversion"/>
  </si>
  <si>
    <t>As</t>
    <phoneticPr fontId="3" type="noConversion"/>
  </si>
  <si>
    <t>Ni</t>
    <phoneticPr fontId="3" type="noConversion"/>
  </si>
  <si>
    <t>Cr</t>
    <phoneticPr fontId="3" type="noConversion"/>
  </si>
  <si>
    <t>Hg</t>
    <phoneticPr fontId="3" type="noConversion"/>
  </si>
  <si>
    <t>References</t>
    <phoneticPr fontId="2" type="noConversion"/>
  </si>
  <si>
    <t>Zhejiang</t>
  </si>
  <si>
    <t>Remote area</t>
    <phoneticPr fontId="2" type="noConversion"/>
  </si>
  <si>
    <t>Ding N 2008: Major agricultural products and environmental heavy metal pollution survey and evaluation in Cangnan county, Zhejiang University</t>
  </si>
  <si>
    <t>Sichuan</t>
  </si>
  <si>
    <t>Ouyang C, Cui D, Chen H (2009): In mianyang, 108 national highway and Wei Liuhe to Wei Cheng research on the effects of soil heavy metal accumulation. Geophysical computing technology 31, 621-627</t>
  </si>
  <si>
    <t>Jiangsu</t>
  </si>
  <si>
    <t>Xinghua cultivated land quality monitoring technical report for 2011</t>
    <phoneticPr fontId="2" type="noConversion"/>
  </si>
  <si>
    <t>Shaanxi</t>
  </si>
  <si>
    <t>Cui X (2009): Soil Environmental Quality Assessment for Agricultural Producing Area Based on Three Standards——A Case in Lingchuan County,Shanxi Province. Journal of Hebei Agricultural Sciences 13, 93-95</t>
  </si>
  <si>
    <t>Anhui</t>
  </si>
  <si>
    <t>Tang W, Ao L, Zhang H, Shan B (2014): Accumulation and risk of heavy metals in relation to agricultural intensification in the river sediments of agricultural regions. Environmental Earth Sciences 71, 3945-3951</t>
  </si>
  <si>
    <t>Beijing</t>
  </si>
  <si>
    <t>Urban</t>
    <phoneticPr fontId="2" type="noConversion"/>
  </si>
  <si>
    <t>Zhang H, Li H, Wang Z, Zhou L (2011b): Accumulation characteristics of copper and cadmium in greenhouse vegetable soils in Tongzhou District of Beijing. Procedia Environmental Sciences 10, 289-294</t>
  </si>
  <si>
    <t>Hunan</t>
  </si>
  <si>
    <t>Pb/zn</t>
    <phoneticPr fontId="2" type="noConversion"/>
  </si>
  <si>
    <t>Du Y, Hu X-F, Wu X-H, Shu Y, Jiang Y, Yan X-J (2013): Affects of mining activities on Cd pollution to the paddy soils and rice grain in Hunan province, Central South China. Environmental monitoring and assessment 185, 9843-9856</t>
  </si>
  <si>
    <t>Shandong</t>
  </si>
  <si>
    <t>Liu P, Zhao H-J, Wang L-L, Liu Z-H, Wei J-L, Wang Y-Q, Jiang L-H, Dong L, Zhang Y-F (2011a): Analysis of heavy metal sources for vegetable soils from Shandong Province, China. Agricultural Sciences in China 10, 109-119</t>
  </si>
  <si>
    <t>coal</t>
    <phoneticPr fontId="2" type="noConversion"/>
  </si>
  <si>
    <t>Shi GL, Lou LQ, Zhang S, Xia XW, Cai QS (2013): Arsenic, copper, and zinc contamination in soil and wheat during coal mining, with assessment of health risks for the inhabitants of Huaibei, China. Environmental Science and Pollution Research 20, 8435-8445</t>
  </si>
  <si>
    <t>Guangzhou</t>
  </si>
  <si>
    <t>Hu Y, Liu X, Bai J, Shih K, Zeng EY, Cheng H (2013): Assessing heavy metal pollution in the surface soils of a region that had undergone three decades of intense industrialization and urbanization. Environmental Science and Pollution Research 20, 6150-6159</t>
  </si>
  <si>
    <t>Pb/Zn</t>
    <phoneticPr fontId="2" type="noConversion"/>
  </si>
  <si>
    <t>Zhou H, Zeng M, Zhou X, Liao BH, Liu J, Lei M, Zhong QY, Zeng H (2013): Assessment of heavy metal contamination and bioaccumulation in soybean plants from mining and smelting areas of southern Hunan Province, China. Environmental Toxicology and Chemistry 32, 2719-2727</t>
  </si>
  <si>
    <t>Zhou H, Zeng M, Zhou X, Liao BH, Liu J, Lei M, Zhong QY, Zeng H (2014): Assessment of heavy metal contamination and bioaccumulation in soybean plants from mining and smelting areas of southern Hunan Province, China. Environmental Toxicology and Chemistry_x0000__x0005__x0000_Ȯ_x0000_Ȯ_x0000_	_x0000_	_x0000_Ȯ_x0000_</t>
  </si>
  <si>
    <t>Zhou H, Zeng M, Zhou X, Liao BH, Liu J, Lei M, Zhong QY, Zeng H (2015): Assessment of heavy metal contamination and bioaccumulation in soybean plants from mining and smelting areas of southern Hunan Province, China. Environmental Toxicology and Chemistry_x0000__x0005__x0000_Ȯ_x0000_Ȯ_x0000_	_x0000_	_x0000_Ȯ_x0000_</t>
  </si>
  <si>
    <t>Zhou H, Zeng M, Zhou X, Liao BH, Liu J, Lei M, Zhong QY, Zeng H (2016): Assessment of heavy metal contamination and bioaccumulation in soybean plants from mining and smelting areas of southern Hunan Province, China. Environmental Toxicology and Chemistry_x0000__x0005__x0000_Ȯ_x0000_Ȯ_x0000_	_x0000_	_x0000_Ȯ_x0000_</t>
  </si>
  <si>
    <t>Cu ore</t>
    <phoneticPr fontId="2" type="noConversion"/>
  </si>
  <si>
    <t>Xu D, Zhou P, Zhan J, Gao Y, Dou C, Sun Q (2013): Assessment of trace metal bioavailability in garden soils and health risks via consumption of vegetables in the vicinity of Tongling mining area, China. Ecotoxicology and environmental safety 90, 103-111</t>
  </si>
  <si>
    <t>wastewater irrigation</t>
    <phoneticPr fontId="2" type="noConversion"/>
  </si>
  <si>
    <t>Zhong L, Liu L, Yang J (2012): Characterization of heavy metal pollution in the paddy soils of Xiangyin County, Dongting lake drainage basin, central south China. Environmental Earth Sciences 67, 2261-2268</t>
  </si>
  <si>
    <t>Liu X, Wu J, Xu J (2006): Characterizing the risk assessment of heavy metals and sampling uncertainty analysis in paddy field by geostatistics and GIS. Environmental Pollution 141, 257-264</t>
  </si>
  <si>
    <t>Liaoning</t>
  </si>
  <si>
    <t>Li F, Fan Z, Xiao P, Oh K, Ma X, Hou W (2009a): Contamination, chemical speciation and vertical distribution of heavy metals in soils of an old and large industrial zone in Northeast China. Environmental geology 57, 1815-1823</t>
  </si>
  <si>
    <t>Guangdong</t>
  </si>
  <si>
    <t>petrochemical complex</t>
  </si>
  <si>
    <t>Li J, Lu Y, Yin W, Gan H, Zhang C, Deng X, Lian J (2009b): Distribution of heavy metals in agricultural soils near a petrochemical complex in Guangzhou, China. Environmental monitoring and assessment 153, 365-75</t>
  </si>
  <si>
    <t>Jilin</t>
  </si>
  <si>
    <t>remote area</t>
    <phoneticPr fontId="2" type="noConversion"/>
  </si>
  <si>
    <t xml:space="preserve">Meng X 2008: Under the GIS support of jilin black soil heavy metal pollution evaluation research [D], </t>
  </si>
  <si>
    <t>Zhao K, Liu X, Xu J, Selim H (2010): Heavy metal contaminations in a soil–rice system: identification of spatial dependence in relation to soil properties of paddy fields. Journal of hazardous materials 181, 778-787</t>
  </si>
  <si>
    <t>Jia L, Wang W, Li Y, Yang L (2010): Heavy metals in soil and crops of an intensively farmed area: a case study in Yucheng City, Shandong Province, China. International journal of environmental research and public health 7, 395-412</t>
  </si>
  <si>
    <t>Zhang X, Lin F, Wong MT, Feng X, Wang K (2009): Identification of soil heavy metal sources from anthropogenic activities and pollution assessment of Fuyang County, China. Environmental monitoring and assessment 154, 439-449</t>
  </si>
  <si>
    <t>Sun C, Liu J, Wang Y, Sun L, Yu H (2013): Multivariate and geostatistical analyses of the spatial distribution and sources of heavy metals in agricultural soil in Dehui, Northeast China. Chemosphere 92, 517-523</t>
  </si>
  <si>
    <t>Xinjiang</t>
  </si>
  <si>
    <t>Mamat Z, Yimit H, Ji RZA, Eziz M (2014): Source identification and hazardous risk delineation of heavy metal contamination in Yanqi basin, northwest China. Science of The Total Environment 493, 1098-1111</t>
  </si>
  <si>
    <t>Shi J, Wang H, Xu J, Wu J, Liu X, Zhu H, Yu C (2006): Spatial distribution of heavy metals in soils: a case study of Changxing, China. Environmental Geology 52, 1-10</t>
  </si>
  <si>
    <t>Guizhou</t>
  </si>
  <si>
    <t>Coal</t>
    <phoneticPr fontId="2" type="noConversion"/>
  </si>
  <si>
    <t>Tian L, Wu H (2013): TCLP method to evaluate risk of the mining area ecological environment of soil heavy metals. Guizhou agricultural science, 123-127</t>
  </si>
  <si>
    <t>Fang C, Liu X, Zhou A (2005): Determination Contents of Heavy Metal and Pesticide Residue of Paeonia ossii and Plantation Soil from Different Habitat in Anhui Province. RESEARCH AND PRACTICE OF CHINESE MEDICINES 19, 17-20</t>
  </si>
  <si>
    <t>Ma F, Zhang R (2013): Anhui tea garden soil heavy metals. Anhui agriculture notified, 111-113</t>
  </si>
  <si>
    <t>Li T, Li D, Cao Y, Zhang Q, Zhang X, Zu C, Tang J, Xu J, Wu X, Ling B (2011): Assessments on Pollution Degree and Risk of Tobacco Soils in Chizhou City, Anhui Province. Soils 43, 674-676</t>
  </si>
  <si>
    <t>Xu H, Chang J (2008): Evaluation and Methods of Heavy Metal Pollution in Main Soils of  Anhui Province. Chinese Journal of Soil Science 39, 411-415</t>
  </si>
  <si>
    <r>
      <t>Chen W, Fang F, Yu J, Zhang Z, Yang D (2009): Environmental Pollution Assessment of Soil Hg and Influence Factors in Wuhu, Anhui Province. JOURNAL OF ANHUI NORMAL UNIVERSITY(NATURAL SCIENCE</t>
    </r>
    <r>
      <rPr>
        <sz val="10"/>
        <rFont val="宋体"/>
        <family val="2"/>
        <charset val="134"/>
      </rPr>
      <t>）</t>
    </r>
    <r>
      <rPr>
        <sz val="10"/>
        <rFont val="Times New Roman"/>
        <family val="1"/>
      </rPr>
      <t xml:space="preserve"> 32, 168-172</t>
    </r>
  </si>
  <si>
    <t>Zhang Y, Cheng J, Li L, Zhao r, Liu H (2014b): Anshun city coal mining area the occurrence characteristics of the vegetable garden soil heavy metal concentration in research. 5-9</t>
  </si>
  <si>
    <t>Irrigation</t>
    <phoneticPr fontId="2" type="noConversion"/>
  </si>
  <si>
    <t>Zhang N (2005): Song three sewage irrigation area of soil heavy metal pollution evaluation Agro-Environment and Development 22, 41-44</t>
  </si>
  <si>
    <t>Li L, Chen W (2014): Bazhong soil heavy metal Cd, Pb pollution evaluation. Journal of henan normal university: natural science, 91-95</t>
  </si>
  <si>
    <t>Hebei</t>
  </si>
  <si>
    <t>Zhang H 2010a: Irrigation soil nutrient and space-time distribution of heavy metals research in Baiyangdian upstream slop., Hebei Agricultural University</t>
  </si>
  <si>
    <t>Tong X, Yang Y, Liu H (2011): Study on Potential Ecological Risk and Environmental Capacity of Heavy Metal in Soil nearby Baili Rhododendron Mining Areas. JOURNAL OF ANHUI AGRICULTURAL SCIENCES 39, 2146-2148</t>
  </si>
  <si>
    <t>Su W (2014): Bengbu soil environment quality present situation analysis. Modern agricultural science and technology, 238-239</t>
  </si>
  <si>
    <t>Power plant</t>
    <phoneticPr fontId="3" type="noConversion"/>
  </si>
  <si>
    <t>Li X, Lu X, Ren C, Chen C, Wang L, Luo D (2012): Characteristics and evaluation of heavy metal pollution in soil of farmland around Baoji Second Power Plant. Agricultural Research In The Arid Areas 30, 220-224,254</t>
  </si>
  <si>
    <t>Zhang L 2011: Baoji dongling lead and zinc smelter plant and the surrounding areas of soil heavy metal content in the research, Shaanxi normal university.</t>
  </si>
  <si>
    <t>Li L (2006a): Investigation on HeavyM etals Pollution in Soil in Baoying County. POLLUT ION CONTROL TECHNOLOGY, 46-47</t>
  </si>
  <si>
    <t>Liu Y 2011: Baoding suburban sewage irrigation area of soil heavy metal space-time distribution and potential ecological risk assessment. master Thesis, Hebei Agricultural University</t>
  </si>
  <si>
    <t>Gansu</t>
  </si>
  <si>
    <t>Li S 2011: The northern facility vegetable accumulation characteristics of heavy metals and the prevention and control countermeasures, The Chinese academy of agricultural sciences</t>
  </si>
  <si>
    <t>Henan</t>
  </si>
  <si>
    <t>Hu K, Zhang F, Lv Y, Wang R, Xu Y (2004): Spatial distribution of concentrations of soil heavy metals in Daxing county, Beijing. ACTA SCIENTIAE CIRCUMSTANTIAE 24, 463-468</t>
  </si>
  <si>
    <t>Han P, Wang J, Lu A, MA Z, PAn L (2012): Distribution and Environment Quality Evaluation of Heavy Metals in Soil in Shunyi of Beijing, China. Journal of Agro-Environment Science 31, 106-112</t>
  </si>
  <si>
    <t>Yunnan</t>
  </si>
  <si>
    <t>Zhao J, Yang H (2012): Pi river basin in farmland soil heavy metal pollution characters and reason analysis. Anhui agricultural science 40, 7569-7573</t>
  </si>
  <si>
    <t>Li Q, Li Q, Zhang W, Zhao M, Wang G, Wu H (2013a): Cangzhou farmland investigation of heavy metals in soil and crops. Environmental and health magazine 30, 758-758</t>
  </si>
  <si>
    <t>Jiangxi</t>
  </si>
  <si>
    <t>Li W, Guo Q, Zhang S, Hu B, Li X (2005): Grass coral GAP base of ecological environmental quality assessment. Modern Chinese medicine research and practice 19, 13-14</t>
  </si>
  <si>
    <t>Bo J, Bo Y (2013): Chang zhengning county small red field evaluation of small watershed slope to the physical and chemical characters. Southern agriculture, 8-10</t>
  </si>
  <si>
    <t>Wang C 2005: Chengdu plain urbanized soil heavy metal evolution (class) and the environment effect research [D], southwest agricultural university</t>
    <phoneticPr fontId="2" type="noConversion"/>
  </si>
  <si>
    <t>Yang G, Ye X, You Q, Wu J (2013): Chengdu plain in farmland soil lead accumulation characteristics and potential ecological harm. 246-249</t>
    <phoneticPr fontId="2" type="noConversion"/>
  </si>
  <si>
    <t>Yang G, Ye X, You Q, Wu J (2013): Chengdu plain in farmland soil lead accumulation characteristics and potential ecological harm. 246-250</t>
  </si>
  <si>
    <t>Yang G, Ye X, You Q, Wu J (2013): Chengdu plain in farmland soil lead accumulation characteristics and potential ecological harm. 246-251</t>
  </si>
  <si>
    <t>Yang G, Ye X, You Q, Wu J (2013): Chengdu plain in farmland soil lead accumulation characteristics and potential ecological harm. 246-252</t>
  </si>
  <si>
    <t>Yang G, Ye X, You Q, Wu J (2013): Chengdu plain in farmland soil lead accumulation characteristics and potential ecological harm. 246-253</t>
  </si>
  <si>
    <t>Yang G, Ye X, You Q, Wu J (2013): Chengdu plain in farmland soil lead accumulation characteristics and potential ecological harm. 246-254</t>
  </si>
  <si>
    <t>Yang G, Ye X, You Q, Wu J (2013): Chengdu plain in farmland soil lead accumulation characteristics and potential ecological harm. 246-255</t>
  </si>
  <si>
    <t>Yang G, Ye X, You Q, Wu J (2013): Chengdu plain in farmland soil lead accumulation characteristics and potential ecological harm. 246-256</t>
  </si>
  <si>
    <t>Yang G, Ye X, You Q, Wu J (2013): Chengdu plain in farmland soil lead accumulation characteristics and potential ecological harm. 246-257</t>
  </si>
  <si>
    <t>Yang G, Ye X, You Q, Wu J (2013): Chengdu plain in farmland soil lead accumulation characteristics and potential ecological harm. 246-258</t>
  </si>
  <si>
    <t xml:space="preserve">urban </t>
    <phoneticPr fontId="2" type="noConversion"/>
  </si>
  <si>
    <t>Xiang Z (2013): Assessment of Heavy Medal Pollution in Soil at Vegetable Bases in Suburban Area of Chengdu City :Taking Two Vegetable Bases for Example. Modern Agricultural Science and Technology, 212-214</t>
  </si>
  <si>
    <t>LI B, Wang H (2012): Chengde city soil pollution condition investigation. Modern agricultural science and technology, 279-280</t>
  </si>
  <si>
    <t>Hubei</t>
  </si>
  <si>
    <t>Tian Y, Cheng S, Zhou J, Qin Q, Chen F (2005): Contents and Affecting Factors of Heavy Metals of Vegetable Plantation Soil in the Suburbs of Several Cities in Jianghan Plain. Hubei Agricultural Sciences, 66-70</t>
  </si>
  <si>
    <t>Zou L 2009: Edge of the city zone soil polluted by heavy metal elements of space mutation characteristics research and evaluation</t>
  </si>
  <si>
    <t>Yuan S, Yan H (2014): Suburban farmland soil heavy metal content in the process of urbanization and its distribution characteristics. Guizhou agricultural science 42, 197-201</t>
  </si>
  <si>
    <t>Wu K, Huang M, Jin Z, Du L, Liu X, Luo X, Chen Y (2011b): Investigation on the pollution statns and sources of heavy metals in vegetable base soils in the process of urbanization——A case study of Shenzhen city. Soils and Fertilizers Sciences in China, 83-89</t>
  </si>
  <si>
    <t>Xiao X, Peng K, Zhou M (2008): Investigation and evaluation of heavy metal pollution in suburban paddy soils—— A case study of Xiangshui Township, Xiangtan City. Chinese Journal of Eco-Agriculture 16, 680-685</t>
  </si>
  <si>
    <t>Xu S (2012): Chizhou region along the poisonous and harmful heavy metals research. Modern Agricultural Sciences and Technology, 295-296</t>
  </si>
  <si>
    <r>
      <rPr>
        <sz val="10"/>
        <rFont val="宋体"/>
        <family val="3"/>
        <charset val="134"/>
      </rPr>
      <t>稀土</t>
    </r>
    <phoneticPr fontId="2" type="noConversion"/>
  </si>
  <si>
    <t>Luo H, Liu W, Chen W, Li Z (2014): Assessment of Heavy Metal Contamination of Soils in a Rare Earth Element Mine in Southern Sichuan. Guizhou Agricultural Sciences 42, 145-148</t>
  </si>
  <si>
    <t>Xu X, Zhang S, Li D, Li T, Li Y, Tang M (2010): Spatial Variability Characteristics and Influencing Factors of Soil Arsenic and Mercury in the Typical Hilly Region of Central Sichuan,China. JOURNAL OF AGRO-ENVIRONMENT SCIENCE 29, 1320-1325</t>
  </si>
  <si>
    <t>Shen Q, Jiang K, Lu H, Hu Y, Weng Y, Su T, Ma J (2013): Cixi city the main vegetable production areas of soil heavy metal pollution survey and evaluation. Journal of zhejiang agricultural 25, 0-155</t>
  </si>
  <si>
    <t>Zhou N, Xiao G, Guo D, Zhang D, Yang Q, Liang X (2014a): Dali city flower dam medicinal herbs cultivation base soil and the status of the heavy metal content in Chinese medicinal materials and evaluation. ENVIRONMENTAL CHEMISTRY 2, 029</t>
  </si>
  <si>
    <t>Hu M (2014): Distribution characteristics and pollution assessment for the farmland soil heavy metals in Dali county. Journal of Arid Land Resources and Environment 1, 014</t>
  </si>
  <si>
    <t>66+67</t>
    <phoneticPr fontId="2" type="noConversion"/>
  </si>
  <si>
    <t>Luan J 2012: Jinzhou district of dalian city farmland soil heavy metal pollution evaluation, The Chinese academy of agricultural sciences</t>
  </si>
  <si>
    <t>Xu Y, Chen S, Chen H, Yuan H (2007): Study on soil heavy metals pollution in daliuta coal mine area. CHINA MINING MAGAZINE 16, 47-50,54</t>
  </si>
  <si>
    <t>Shanxi</t>
  </si>
  <si>
    <t>Yu T (2012): Shanxi datong county vegetable soil heavy metal content and quality evaluation. Agro-Environment and Development, 88-90</t>
  </si>
  <si>
    <t>Xie H, Liu X, Chen T, Liao X, Yan X, Wang L (2009): Concentration and Health Risk of Heavy Metals in Vegetables and Soils in Region Affected by an Ancient Tin Ore. Chinese Journal of Environmental Science 29, 3503-3507</t>
  </si>
  <si>
    <t>Si</t>
    <phoneticPr fontId="2" type="noConversion"/>
  </si>
  <si>
    <t>Zn</t>
    <phoneticPr fontId="2" type="noConversion"/>
  </si>
  <si>
    <t>Liu F, Wang S, Wu Q, Lin H (2013a): Evaluation and Source Analysis of the Mercury Pollution in Soils and Vegetables Around a Large-scale Zinc Smelting Plant. Chinese Journal of Environmental Science 34, 712-717</t>
  </si>
  <si>
    <t>Zhao H, Wu H, Sun Y (2003): Main pollution factor in the soil characteristics and correlation analysis in Dandong city Liaoning urban and rural environmental science and technology 6, 014</t>
  </si>
  <si>
    <t>Zhao H, Wu H, Sun Y (2003): Main pollution factor in the soil characteristics and correlation analysis in Dandong city Liaoning urban and rural environmental science and technology 6, 015</t>
  </si>
  <si>
    <t>Zhao H, Wu H, Sun Y (2003): Main pollution factor in the soil characteristics and correlation analysis in Dandong city Liaoning urban and rural environmental science and technology 6, 016</t>
  </si>
  <si>
    <t>She J, Wu L, Zhao T, Zhang K (2013): Danjiangkou reservoir xichuan submerged area the occurrence characteristics of mercury and arsenic in the soil and the ecological risk assessment. Agricultural journal of environmental science, 111-117</t>
  </si>
  <si>
    <t>Han F, Li Q, Yan F, Li T, Chen R (2007): The true county pollution-free vegetable producing area environmental quality assessment. Guizhou Agricultural Sciences 35, 95-97</t>
  </si>
  <si>
    <t>Zhu L, Yan B, Wang L (2010): Quantitative characteristics and source analysis of heavy metals in paddy soils in downstream of the Second Songhua River, Jilin Province. CHINESE JOURNAL OF APPLIED ECOLOGY 21, 2965-2970</t>
  </si>
  <si>
    <t>Zhang G, Guo J, Wang D, Bi S, Zhou X, Ma Z (2013): Cultivated Land Soil Environment Quality Analysis and E valuation in Longchuan County, Yunnan Province, China. Agro-Environment and Development 30, 31-35</t>
  </si>
  <si>
    <t>Cu</t>
    <phoneticPr fontId="2" type="noConversion"/>
  </si>
  <si>
    <t>Wang Z, Xie X (2010): Typical copper tailings surrounding the compound pollution of heavy metals in soil characteristics.  19, 113-117</t>
  </si>
  <si>
    <t>Zhang Y, Zhang S Distribution and Evaluation of Heavy Metals of Agricultural Soil in Typical Earthquake Disaster Area. JOURNAL OF SICHUAN AGRICULTURAL UNIVERSITY</t>
  </si>
  <si>
    <t>Yu Y, Hu L, Yang Y, Che F, Sun P, Deng F (2010): Pollution Characteristics and Ecological Risk Assessment of Heavy Metals in Farmland Soils of a Typical Basin. RESEARCH OF ENVIRONMENTAL SCIENCES 23, 1523-1527</t>
  </si>
  <si>
    <t>Xu J 2014: A typical agricultural area soil - crop systems of heavy metal pollution and health risk assessment, Hefei university of technology</t>
  </si>
  <si>
    <t>Dou L, Ma J, You Y, Cai L (2008): Distribution and Correlation of Heavy Metals in Soil-Vegetable System of Typical Township-Enterprise Dense Area. Soils 40, 812-818</t>
  </si>
  <si>
    <t>Chongqing</t>
  </si>
  <si>
    <t>Zhou X, Ran L, Li H (2014b): Mat jiang peony producing the analysis and evaluation of soil heavy metal content. Journal of chongqing college of liberal arts 33, 70-74</t>
  </si>
  <si>
    <t>Cao H, Wang J, Zhang X (2006): Influencing Factors and Hg Concentration in Black Soil and Maize in Northeast China. System Sciemces and Comprehensive Studies In Agriculture 22, 292-295</t>
  </si>
  <si>
    <t>Heilongjiang</t>
  </si>
  <si>
    <t>Wang S, Sun B, Wang C, Pei Z, Li S, Zuo X, Zhang x, Liu J (2013): Appraisal and Analysis of Soil Heavy Metal Pollution of Typical Black Soil Region in the Northeast of China. Journal of Anhui Agricultural Sciences 41, 4350-4352</t>
  </si>
  <si>
    <t>85+86</t>
    <phoneticPr fontId="2" type="noConversion"/>
  </si>
  <si>
    <t>Cai L, Ma J, Zhou Y, Huang L, Chen F, Xie X, Yang X (2008): Heavy Metal Concentrations of Agricultural Soils and Vegetables from Dongguan,Guangdong Province,China. ACTA GEOGRAPHICA SINICA 63, 994-1003</t>
  </si>
  <si>
    <t>Zhou X, Qin P, Li X, Zeng J (2007): Preliminary evaluation of dongting lake plain farmland environment quality. Environmental science and technology 30, 55-56</t>
  </si>
  <si>
    <t>Cement</t>
    <phoneticPr fontId="2" type="noConversion"/>
  </si>
  <si>
    <t>Yang K, Xiong W, Luo Y, Yang L, Zhang L (2011): Analysis and Assessment on Pollution Condition of Heavy Metals in Soil in the Farmland Around Dujiangyan City. Environmental Monitoring in China, 10-16</t>
  </si>
  <si>
    <t>Li X, Xu M, Wang X (2006b): Seven pollution-free vegetables origin certification county in gansu province (city) the assessment of soil heavy metal content. Gansu agricultural science and technology, 36-37</t>
  </si>
  <si>
    <t>Li X, Xu M, Wang X (2006b): Seven pollution-free vegetables origin certification county in gansu province (city) the assessment of soil heavy metal content. Gansu agricultural science and technology, 36-38</t>
  </si>
  <si>
    <t>Li X, Xu M, Wang X (2006b): Seven pollution-free vegetables origin certification county in gansu province (city) the assessment of soil heavy metal content. Gansu agricultural science and technology, 36-39</t>
  </si>
  <si>
    <t>Li X, Xu M, Wang X (2006b): Seven pollution-free vegetables origin certification county in gansu province (city) the assessment of soil heavy metal content. Gansu agricultural science and technology, 36-40</t>
  </si>
  <si>
    <t>Li X, Xu M, Wang X (2006b): Seven pollution-free vegetables origin certification county in gansu province (city) the assessment of soil heavy metal content. Gansu agricultural science and technology, 36-41</t>
  </si>
  <si>
    <t>Li X, Xu M, Wang X (2006b): Seven pollution-free vegetables origin certification county in gansu province (city) the assessment of soil heavy metal content. Gansu agricultural science and technology, 36-42</t>
  </si>
  <si>
    <t>Li X, Xu M, Wang X (2006b): Seven pollution-free vegetables origin certification county in gansu province (city) the assessment of soil heavy metal content. Gansu agricultural science and technology, 36-43</t>
  </si>
  <si>
    <t>Li X, Xu M, Wang X (2006b): Seven pollution-free vegetables origin certification county in gansu province (city) the assessment of soil heavy metal content. Gansu agricultural science and technology, 36-44</t>
  </si>
  <si>
    <t>Xiong H, Lu J, Li Q, Zhan S, Liao Q, Wu Q (2008): THE SOIL HEAVY METAL POLLUTION ASSESSMENT OF VEGETABLE LAND OF E ZHOU CITY. INNER MONGOLIA ENVIRONMENTAL SCIENCES 20, 36-39</t>
  </si>
  <si>
    <t>Wang M, Yang Z, Bing A, Qian F, Zhang L (2010): The investigation on pollution of heavy metals in the soil in Xudong area of Feicheng City. JOURNAL OF TAISHAN MEDICAL COLLEGE 31, 48-50</t>
  </si>
  <si>
    <t>Dong M, Gao Y, Zhang Y (2014): Fenhe linfen section of sewage irrigation area of soil heavy metal pollution evaluation. Henan agricultural science 43, 72-78</t>
  </si>
  <si>
    <t xml:space="preserve">Shi W 2011: Risk Assessment &amp; Spatial Distribution of Soil Nutrients and Heavy Metal in Fenhe Reservoir Surrounding. </t>
  </si>
  <si>
    <t>Wen Y 2005: Foshan city garden soil and vegetables heavy metal pollution status and governance, Hunan agricultural university,</t>
  </si>
  <si>
    <t>Li M, Wu Q, Li R, Nie C, Liang J, Ouyang F, Chen C (2009b): The Investigation and Evaluation of Heavy Metal Pollution in Wastewater Irrigated Soils and Vegetables in the Suburb of Foshan. JOURNAL  OF  SOUTH  CHINA  AGRICULTURAL  UNIVERSITY 30, 19-21</t>
  </si>
  <si>
    <t>Fujian</t>
  </si>
  <si>
    <t>Tu J, Wu Y, Chen W, Luo Q, Yao S (2011): Fujian several vegetable field analysis of arsenic content in soil and vegetables. Journal of fujian agriculture 26, 1065-1068</t>
  </si>
  <si>
    <t>Tu J, Wu Y, Chen W, Luo Q, Yao S (2011): Fujian several vegetable field analysis of arsenic content in soil and vegetables. Journal of fujian agriculture 26, 1065-1069</t>
  </si>
  <si>
    <t>Tu J, Wu Y, Chen W, Luo Q, Yao S (2011): Fujian several vegetable field analysis of arsenic content in soil and vegetables. Journal of fujian agriculture 26, 1065-1070</t>
  </si>
  <si>
    <t>Xu J, Chen Y, Zou H (2011b): Regional Comparisons for Heavy Metal Contamination in Soil and Vegetables in Fujian Province. Fujian Journal of Agricultural Sciences 26, 646-651</t>
  </si>
  <si>
    <t>Xu J, Chen Y, Zou H (2011): Regional Comparisons for Heavy Metal Contamination in Soil and Vegetables in Fujian Province. Fujian Journal of Agricultural Sciences 26, 646-651</t>
  </si>
  <si>
    <t>Zheng H (2012): Heavy Metal Pollution and Potential Ecological Risks of Soils for Agricultural Cultivations in Fujian. Fujian Journal of Agricultural Sciences 27, 888-894</t>
  </si>
  <si>
    <t>Chen J (2014): Fujian longyan xinluo district of cultivated land quality evaluation and improvement. Fujian hot-work technology 39, 18-21</t>
  </si>
  <si>
    <t>Guo y, Wang G, Luo D, Ge H, Wang g, Chen J, Luo Z (2011b): Fujian tieguanyin tea garden soil in the lead, cadmium, arsenic, chromium, mercury, copper, the environmental quality of fluorine present situation analysis. Journal of Chinese ecological agriculture 19, 676-681</t>
  </si>
  <si>
    <t>Chen H, Li J, Chen N, Cao X (2013): Fujian Coastal Areas in Different Regions of Paddy Soil Heavy Metal Elements Enrichment Characteristics and Assessment of Environmental Quality. Environmental Monitoring in China, 34-40</t>
  </si>
  <si>
    <t>Chen D, Xie W, Song G (2010): Fujian coastal farmland soil heavy metal pollution and potential risks. Chinese Journal of Soil Science, 194-199</t>
  </si>
  <si>
    <t>Lin X (2007): Fujian zhangzhou and vegetable garden soil heavy metal pollution assessment and control. Subtropical plant science 36, 45-47</t>
  </si>
  <si>
    <t>Xu L, Li Y, Su Q, Wu J, Xiong X, Song B, Zheng G, CHen Y (2007): Contents and spatial distribution patterns of heavy metals in farmland soils of Fuxin City. CHINESE JOURNAL OF APPLIED ECOLOGY 18, 1510-1517</t>
  </si>
  <si>
    <t>Tang Y 2008: Ganluo county red ditch lead-zinc mine soil heavy metals and agricultural products health quality research, Sichuan agricultural university,</t>
  </si>
  <si>
    <t>Li Y (2009): Level of heavy metals in the soil and evaluation in Jingyuan, Gansu Gansu province chemical society the twenty-sixth annual meeting and the eighth middle school chemistry teaching experience exchange meeting proceedings</t>
  </si>
  <si>
    <t>Li R, Che Z, Hu M (2006a): Monitoring Survey on Heavy Metals in Soils Growing Traditional Chinese Herbs. Journal of Agro-Environment Science( J. Agro-Environ. Sci.) 25, 523-527</t>
  </si>
  <si>
    <t>Jiang J (2014): The soil heavy metal potential ecological risk assessment of pingliang city, gansu province. China's agriculture notified 30, 176-180</t>
  </si>
  <si>
    <t>Jiang J (2014): The soil heavy metal potential ecological risk assessment of pingliang city, gansu province. China's agriculture notified 30, 176-181</t>
  </si>
  <si>
    <t>Jiang J (2014): The soil heavy metal potential ecological risk assessment of pingliang city, gansu province. China's agriculture notified 30, 176-182</t>
  </si>
  <si>
    <t>Jiang J (2014): The soil heavy metal potential ecological risk assessment of pingliang city, gansu province. China's agriculture notified 30, 176-183</t>
  </si>
  <si>
    <t>Jiang J (2014): The soil heavy metal potential ecological risk assessment of pingliang city, gansu province. China's agriculture notified 30, 176-184</t>
  </si>
  <si>
    <t>Jiang J (2014): The soil heavy metal potential ecological risk assessment of pingliang city, gansu province. China's agriculture notified 30, 176-185</t>
  </si>
  <si>
    <t>Liu W (2013): Zhang ye, gansu province, yongchang area of soil heavy metal element geochemical characteristics. Geophysical and geochemical exploration 37, 883-888</t>
  </si>
  <si>
    <t>Gu Z, Wang Y, SUn Y (2014): Angelica main production areas in Gansu province comparative analysis of soil heavy metal content. Gansu Science and Technology 30, 114-116</t>
  </si>
  <si>
    <t>Li R, Yu A, Bai B, Wang Q (2013b): Plateau in central gansu open vegetable plantation soil heavy metal pollution and potential ecological risk analysis. Agricultural journal of environmental science, 103-110</t>
  </si>
  <si>
    <t>W</t>
    <phoneticPr fontId="2" type="noConversion"/>
  </si>
  <si>
    <t>Zhang S 2009: Lantian smelter surrounding farmland compound pollution of heavy metals in soil and grain analysis and evaluation, Shaanxi Normal University</t>
  </si>
  <si>
    <t>Zhang S 2010: Lantian smelter surrounding farmland compound pollution of heavy metals in soil and grain analysis and evaluation, Shaanxi Normal University</t>
  </si>
  <si>
    <t>Zhang S 2011: Lantian smelter surrounding farmland compound pollution of heavy metals in soil and grain analysis and evaluation, Shaanxi Normal University</t>
  </si>
  <si>
    <t>Zhang S 2012: Lantian smelter surrounding farmland compound pollution of heavy metals in soil and grain analysis and evaluation, Shaanxi Normal University</t>
  </si>
  <si>
    <t>irrigation</t>
    <phoneticPr fontId="2" type="noConversion"/>
  </si>
  <si>
    <t>Liu H, Wu P, Zhang C, Cao Z, Xie H (2010): Characteristics of Arsenic Distributing in Soils Irrigated by High-arsenic Coal Drainage. ENVIRONMENTAL SCIENCE &amp; TECHNOLOGY 8, 016</t>
  </si>
  <si>
    <t>Xu J, Bai J, Cheng Q, Xu X, Wu J, Zang S, Tan L (2011a): Analysis and Evaluation of Heavy Metal Control of Vegetable Producing Area in Gaoyou City. Rain Fed Crops, 23-26</t>
  </si>
  <si>
    <t>Li R, Che Z, Tao H (2010b): Assessment of Environment Quality of Products Bases of Plateau Summer Vegetables. Northern Horticulture, 33-35</t>
  </si>
  <si>
    <t>Li R, Che Z, Tao H (2010): Assessment of Environment Quality of Products Bases of Plateau Summer Vegetables. Northern Horticulture, 33-35</t>
  </si>
  <si>
    <t>Ningxia</t>
  </si>
  <si>
    <t>Du W, Chen P, Zhang Y, He L (2013): Natural guyuan city agricultural environmental quality monitoring and evaluation. Ningxia agriculture and forestry science and technology, 76-78</t>
  </si>
  <si>
    <t>Du W, Chen P, Zhang Y, He L (2013): Natural guyuan city agricultural environmental quality monitoring and evaluation. Ningxia agriculture and forestry science and technology, 76-79</t>
  </si>
  <si>
    <t>Du W, Chen P, Zhang Y, He L (2013): Natural guyuan city agricultural environmental quality monitoring and evaluation. Ningxia agriculture and forestry science and technology, 76-80</t>
  </si>
  <si>
    <t>Du W, Chen P, Zhang Y, He L (2013): Natural guyuan city agricultural environmental quality monitoring and evaluation. Ningxia agriculture and forestry science and technology, 76-81</t>
  </si>
  <si>
    <t>Zheng G (2010): Investigation and Assessment on Heavy Metals Pollution of Agricultural Soil in Guanzhong Irrigation District. Chinese Journal of Soil Science, 473-478</t>
  </si>
  <si>
    <t>Zheng G (2010): Investigation and Assessment on Heavy Metals Pollution of Agricultural Soil in Guanzhong Irrigation District. Chinese Journal of Soil Science, 473-479</t>
  </si>
  <si>
    <t>Zheng G (2010): Investigation and Assessment on Heavy Metals Pollution of Agricultural Soil in Guanzhong Irrigation District. Chinese Journal of Soil Science, 473-480</t>
  </si>
  <si>
    <t>Xu Z, Liu D, Xu T, DUan Y, Cui Z, Zhao P (2008): Status and Assessment of Heavy Metal Pollution in Soil of Shiya Town of Guang'an City. ACTA AGRICULTURAE JIANGXI 20, 30-32</t>
  </si>
  <si>
    <t>Yang G, Zhang T, Wan H, Luo W, Gao Y (2007): Spatial Distribution and Sources of Heavy Metal Pollution of Agricultural Soils in the Typical Areas of Guangdong Province, China. Soils 39, 387-392</t>
  </si>
  <si>
    <t>Song Q, Fang J, Wang F (2008): Guangdong province is mainly vegetables origin research and assessment on heavy metal content in the soil. The environmental pollution and the prevention and control 30, 91-93</t>
  </si>
  <si>
    <t>Wang G, Li J, Lu J (2014): Guangdong sugarcane area monitoring and evaluation of soil heavy metal elements. Cane sugar, 54-57</t>
  </si>
  <si>
    <t>Guangxi</t>
  </si>
  <si>
    <t>Ling N (2010): Different types of farmland soil heavy metal content in guangxi situation analysis. Environment and development in agriculture 27, 91-94</t>
  </si>
  <si>
    <t>Huang Y, Chen G, Xiong L, Wang Y, Ye K, Zhang L, Tang Q, Wang J (2013): Survey and Evaluation of Heavy Metal Contamination of Paddy Soil in Guangxi. Journal of Anhui Agricultural Sciences 41, 10648-10649</t>
  </si>
  <si>
    <t>Huang W, Teng D, Nie W, Xie S (2007b): Investigation and evaluation on the soil quality of  cultivated land in Guangxi. Guangxi Agricultural Sciences 37, 703-706</t>
  </si>
  <si>
    <t>Pb/Ti</t>
    <phoneticPr fontId="2" type="noConversion"/>
  </si>
  <si>
    <t>Xiang M, Zhang G, Li L, Wei X, Cai Y (2011): The Characteristics of Heavy Metals in Soil Around the Hechi Antimony-Lead Smelter,Guangxi,China. Acta Mineralogica Sinica 31, 250-255</t>
  </si>
  <si>
    <t>Yu G, Wen Y, Xu Z, Dong H, Zhang L, He S, Zhang Y, Liu H (2009): Study of Arsenic Concentrations in Vegetables and Soils in Guangzhou City and the Potential Risk to Human Health. Journal of Soil and Water Conservation, 62-65</t>
  </si>
  <si>
    <t>urban</t>
    <phoneticPr fontId="2" type="noConversion"/>
  </si>
  <si>
    <t>Liu X, Xie S, Wei X, Hao X (2011b): Evaluation on the Mercury Pollution of Main Vegetable Producing Areas in Guangzhou City. Hubei Agricultural Sciences 50, 3069-3071</t>
  </si>
  <si>
    <t>Liu X, Xie S, Wei X, Hao X (2011): Evaluation on the Mercury Pollution of Main Vegetable Producing Areas in Guangzhou City. Hubei Agricultural Sciences 50, 3069-3071</t>
  </si>
  <si>
    <t>Wu S, Zou X, Pan X, Cai W, Luo Y (2013): Analysis and Evaluation on Heavy Metal Pollution Condition  of Soil in Farmland around Guixi Smelting Factory. Jiangxi Science 30, 779-783</t>
  </si>
  <si>
    <r>
      <t>Guizhou</t>
    </r>
    <r>
      <rPr>
        <sz val="10"/>
        <rFont val="宋体"/>
        <family val="3"/>
        <charset val="134"/>
      </rPr>
      <t>市</t>
    </r>
  </si>
  <si>
    <t>Deng Q 2005: The present situation of the guiyang city suburban county agricultural soil heavy metal pollution and evaluation. Thesis, Guizhou university</t>
  </si>
  <si>
    <t>Hg</t>
    <phoneticPr fontId="2" type="noConversion"/>
  </si>
  <si>
    <t>Liu P, Wu P, Tao X (2005): Variation of Mercury in Soil of a Mercury Mine of Guizhou. ENVIRONMENTAL SCIENCE &amp; TECHNOLOGY 2</t>
  </si>
  <si>
    <t>Ti</t>
    <phoneticPr fontId="2" type="noConversion"/>
  </si>
  <si>
    <t>Liu L, Long J, Wan H, Li J (2013b): Distribution Characteristics and Risk Assessment of Heavy Metals in Agricultural Soils in An Abandoned Antimony Smelter in Guizhou Karst Areas. Soils 45, 1036-1047</t>
  </si>
  <si>
    <t>Fan C, Zhang B, Qin S, Xia P, Lin T (2012): Distribution and Pollution Assessment of Heavy Metals in Sediments and Soils in Maixi River of Guizhou. Hubei Agricultural Sciences 51, 4485-4490</t>
  </si>
  <si>
    <t>Chen X, Zhang C (2010): A copper mine in guizhou four kinds of bryophytes and its heavy metal element analysis matrix. Gold, 48-52</t>
  </si>
  <si>
    <t>Chen X, Zhang C (2009): Wood - mercury in guizhou area heavy metal elements in four species of moss plants and its matrix analysis. Journal of northwest plants, 2535-2541</t>
  </si>
  <si>
    <t>Sb</t>
    <phoneticPr fontId="2" type="noConversion"/>
  </si>
  <si>
    <r>
      <t>Shan X, Xu S (2011): The Analysis and Assessment on the Pollution Condition of Heavy Metals in the Soil around the Qinglong Dachang Antimony Mining Area in Guizhou Province. Journal of Guizhou University</t>
    </r>
    <r>
      <rPr>
        <sz val="10"/>
        <rFont val="宋体"/>
        <family val="3"/>
        <charset val="134"/>
      </rPr>
      <t>（</t>
    </r>
    <r>
      <rPr>
        <sz val="10"/>
        <rFont val="Times New Roman"/>
        <family val="1"/>
      </rPr>
      <t>Natural Science</t>
    </r>
    <r>
      <rPr>
        <sz val="10"/>
        <rFont val="宋体"/>
        <family val="3"/>
        <charset val="134"/>
      </rPr>
      <t>）</t>
    </r>
    <r>
      <rPr>
        <sz val="10"/>
        <rFont val="Times New Roman"/>
        <family val="1"/>
      </rPr>
      <t xml:space="preserve"> 28, 132-135</t>
    </r>
  </si>
  <si>
    <t>Gold</t>
    <phoneticPr fontId="2" type="noConversion"/>
  </si>
  <si>
    <t>Jiang H, Zhang Z (2007): Mensuration and correlating analyse of heavy metal elements in three mosses and soil from Lao Wanchang  Lateritic Gold Deposit in Qinglong, Guizhou. Guihaia 27, 610-615</t>
  </si>
  <si>
    <t>Liu F, Huang X, Qin P, Hu J, Li C, Jiang C (2009a): Evaluation of Heavy Metals Pollution in Soils from Blumea balsamifera Planting Base in Guizhou Province. JOURNAL OF ANHUI AGRICULTURAL SCIENCES 37, 4249-4253</t>
  </si>
  <si>
    <t>Li C, Li S, Luo Y, Wang X, Zhang J (2014): Luxury township farmland soil environment quality characteristics research in  bijie city, Guizhou province. Earth and Environment 2, 016</t>
  </si>
  <si>
    <t>Liu H, Zhou J, Zhu H, Feng X, Du B, Long J (2014): Guizhou province in different types of pollution of mercury distribution in the area of agricultural soil, and the evaluation of the pollution. Environmental Chemistry 33, 691-692</t>
  </si>
  <si>
    <t>Hg mining</t>
    <phoneticPr fontId="2" type="noConversion"/>
  </si>
  <si>
    <t>Ding Z, Wang W, Zhai L, Tang Q, liu C, Cheng J, Hu W (2004): Mercury Pollution and Its Ecosystem Effects in Wanshan Mercury Miner Area, Guizhou. CHINESE JOURNAL OF ENVIRONMENTAL SCIENCE 25, 111-114</t>
  </si>
  <si>
    <t>142+143</t>
    <phoneticPr fontId="2" type="noConversion"/>
  </si>
  <si>
    <t>Song C, He J, Tan H (2005): Preliminary evaluation of the agricultural soil heavy metal pollution in guizhou. Guizhou Agricultural Sciences 33, 13-16</t>
  </si>
  <si>
    <t>Ding Z, Wang W, Zhai L, Tang Q, liu C, Cheng J, Hu W (2004): Mercury Pollution and Its Ecosystem Effects in Wanshan Mercury Miner Area, Guizhou. CHINESE JOURNAL OF ENVIRONMENTAL SCIENCE 25, 111-115</t>
  </si>
  <si>
    <t>Shen W, Wu y (2011): XingRen abandoned coal mine in guizhou area of soil heavy metal pollution and soil enzyme activity. Guizhou agricultural science 39, 111-116</t>
  </si>
  <si>
    <r>
      <t>Zhang Y, Du Y, Fu H, Sun B, Chen L (2011): Assessment of heavy metals contamination of soil in  Zhijin coal mine area of Guizhou province. Journal of Guizhou Normal University</t>
    </r>
    <r>
      <rPr>
        <sz val="10"/>
        <rFont val="宋体"/>
        <family val="3"/>
        <charset val="134"/>
      </rPr>
      <t>（</t>
    </r>
    <r>
      <rPr>
        <sz val="10"/>
        <rFont val="Times New Roman"/>
        <family val="1"/>
      </rPr>
      <t>Natural Sciences</t>
    </r>
    <r>
      <rPr>
        <sz val="10"/>
        <rFont val="宋体"/>
        <family val="3"/>
        <charset val="134"/>
      </rPr>
      <t>）</t>
    </r>
    <r>
      <rPr>
        <sz val="10"/>
        <rFont val="Times New Roman"/>
        <family val="1"/>
      </rPr>
      <t xml:space="preserve"> 29, 21-23</t>
    </r>
  </si>
  <si>
    <t>Huang Y, Chen G, Xiong L, Wang Y, Ye K, Zhang L, TAng Q, Wang J (2014): Survey and evaluation of heavy metal contamination of paddy soil in western Guangxi. Journal of Southern Agriculture 45</t>
  </si>
  <si>
    <r>
      <t xml:space="preserve">Yuan L, Song B, Meng D, Zhong X, Zhang X (2012): A survey of nickel concentrations in vegetables and soils in GuiUn and the potential risks to human health. Environmental Pollution </t>
    </r>
    <r>
      <rPr>
        <sz val="10"/>
        <rFont val="宋体"/>
        <family val="2"/>
        <charset val="134"/>
      </rPr>
      <t>＆</t>
    </r>
    <r>
      <rPr>
        <sz val="10"/>
        <rFont val="Times New Roman"/>
        <family val="1"/>
      </rPr>
      <t xml:space="preserve"> Control 34, 46-52</t>
    </r>
  </si>
  <si>
    <t>Hou M, Qian J, Zhang L (2004): Guilin vegetable field soil - mercury pollution vegetable research and evaluation. The ecological environment 13, 575-577</t>
  </si>
  <si>
    <t>Song B, Tang L (2012): A Survey of Cadmium Concentrations in Vegetables and Soils in Guilin and Food Safety Assessment of Vegetables. Journal of Ecology and Rural Environment 28, 238-242</t>
  </si>
  <si>
    <r>
      <t xml:space="preserve">Zhang L 2012: Research of soil heavy metal pollution in Harbin, </t>
    </r>
    <r>
      <rPr>
        <sz val="10"/>
        <rFont val="宋体"/>
        <family val="3"/>
        <charset val="134"/>
      </rPr>
      <t>哈尔滨师范大学</t>
    </r>
  </si>
  <si>
    <t>Hainan</t>
  </si>
  <si>
    <t>pb/zn</t>
    <phoneticPr fontId="2" type="noConversion"/>
  </si>
  <si>
    <t>Lu B, Meng Z, Zhao Z, Yuan J (2013): Changhua lead and zinc mine soil heavy metal content enrichment characteristics and advantages of plant in Hainan. Journal of Henan Science and Technology 1, 151</t>
  </si>
  <si>
    <t>Xiao Z 2011: Hainan island in the laterite Mn, zinc, Cu, Ni content, distribution and pollution assessment, Hainan normal university.</t>
  </si>
  <si>
    <t>155+154</t>
    <phoneticPr fontId="2" type="noConversion"/>
  </si>
  <si>
    <t>Geng J, Wang W, Wen C, Yi Z, Tang S (2012): Concentrations and distributions of selenium and heavy metals in Hainan paddy soil and assessment of ecological security. Acta Ecologica Sinica 32, 3477-3486</t>
  </si>
  <si>
    <t>ZHang Y, Kuang J, Xie Y, Guo T (2014c): Hainan agricultural origin of soil environmental quality evaluation. Subtropical journal of resources and environment 3, 011</t>
  </si>
  <si>
    <t>ZHang Y, Kuang J, Xie Y, Guo T (2014): Hainan agricultural origin of soil environmental quality evaluation. Subtropical journal of resources and environment 3, 011</t>
  </si>
  <si>
    <t>Lv L, Guo B, Qi Z (2009): Pollution of Heavy Metals in Paddy Soil in Wanning, Hainan Province. CHINESE JOURNAL OF TROPICAL CROPS 30, 1023-1027</t>
  </si>
  <si>
    <t>Wei Z, Guo B, Qi Z (2009): Hainan wenchang in rice soil heavy metal pollution evaluation. Anhui agricultural science 37, 17616-17619</t>
  </si>
  <si>
    <t>Duan L, Xu G, Liu T (2014): Han XingTie mining area the evolution characteristics of heavy metals in soil and corn. Horizon of science and technology, 22-22</t>
  </si>
  <si>
    <t>Mao Z 2009: Hanyuan lead-zinc mining area soil polluted by heavy metal spatial variation and its risk assessment</t>
  </si>
  <si>
    <t>Neimenggu</t>
  </si>
  <si>
    <t>Liu M (2014): Hanggin HouQi farmland environment quality condition analysis. Inner Mongolia agricultural science and technology 2, 024</t>
  </si>
  <si>
    <t>Li J, Xie Z, Xu J, Ye L, Liu X (2003): Evaluation on environmental quality of heavy metals in vegetable plantation soils in the suburb of Hangzhou. Ecological Environment 12, 277-280</t>
  </si>
  <si>
    <t>Yang H, Xu X, Li C (2008): Research on the Contain of Heavy Metal in Vegetable Planting Land in Daiwei Township of Hefei City and its Environment Situation. JOURNAL OF ANHUI AGRICULTURAL SCIENCES 36, 1122-1123</t>
  </si>
  <si>
    <t>Zhu J, Li G, Zhou H (2009a): The Content and Contamination Assessment of Heavy Metals in  Hefei Suburban Garden Soil  Modern Agricultural Sciences   97-99</t>
  </si>
  <si>
    <t>Luo W, Lin C, Yang W, Sun C, Liu Y, Zhang Z, Wang F (2014): Fleece-flower root and planting soil heavy metal content characteristics and correlation studies. Hubei province agricultural science 18, 030</t>
  </si>
  <si>
    <t>Guo H, Yang Z, Li H, Ma W, Ren J (2011a): Hebei plain surface soil environmental quality and pollution of heavy metals. China's geological 38, 218-225</t>
  </si>
  <si>
    <t>Zhang L, Xu H, Yu Q, Li R, Ma Z, Cao F, LI H (2010b): The Investigation and Evaluation of the Heavy Metal Pollution in Farmland Soil and Crop in the QingYuan of Hebei,China. JOURNAL OF AGRO-ENVIRONMENT SCIENCE 29, 2139-2146</t>
  </si>
  <si>
    <t>Cui X, Qin Z, Luan W, Song Z (2014): Baoding city, hebei province under the soil heavy metal pollution and potential ecological risk assessment. Modern geology 28, 523-530</t>
  </si>
  <si>
    <t>Jiang B 2013: Hemp yam producing soil suitability evaluation in hebei province, Hebei agricultural university,</t>
  </si>
  <si>
    <t>Jiang L 2006: Hebei tangshan rich zone distribution of heavy metals in soil and soil quality evaluation, China university of geosciences (Beijing)</t>
  </si>
  <si>
    <t>Zhu J 2011: Hebei pear producing green fruit production soil suitability evaluation, Hebei agricultural university,</t>
  </si>
  <si>
    <t>Henan</t>
    <phoneticPr fontId="3" type="noConversion"/>
  </si>
  <si>
    <t>Ma J, Du P, Wang X (2011): Heavy metal concentrations in the soil and health risk estimation via ingesting yam in Huilou yam-growing area, Henan. Journal of Safety and Environment 11, 106-110</t>
  </si>
  <si>
    <t>Zheng Y (2007): On Heavy Metal Pollution Status and Its Assessment for the Farmland Soil of Henan Province. Journal of Environmental Management College of China 17, 44-46</t>
  </si>
  <si>
    <t>Jin K (2012a): In parts of henan puyang city soil lead, cadmium pollution situation analysis.</t>
  </si>
  <si>
    <t>Xuan Z, Wei T, Zhao Y, Zhao Q (2006): Study on Heavy Metal Pollution of Soil in the Base of Dominant Agricultural Products in Henan Province. JOURNAL OF ANHUI AGRICULTURAL SCIENCES</t>
  </si>
  <si>
    <t>Zhang M, Yao S, Zhang J, Sun X, Li H, Zhu H, Chen C (2009b): Investigation of Mercury Content in Plough Layers  of Main Soil Types in Henan Province. Shandong Agricultural Sciences, 93-96</t>
  </si>
  <si>
    <t>Sun J, Hao B, Zhu M, Che W (2010): Comprehensive Assessment of Heavy Metals Pollution in the Soil of Zhangdiyingzi. JOURNAL OF ANHUI AGRICULTURAL SCIENCES 38, 16308-16309,16342</t>
  </si>
  <si>
    <t>Shi W, Wang J, Bian Z, Wang Q (2005): Distribution and Evaluation of Main Heavy Metals and Available Microelements in Soils in the Northern Area of Heilongjiang Province. CHINESE JOURNAL OF SOIL SCIENCE 36, 880-883</t>
  </si>
  <si>
    <t>Shi W, Wang J, Bian Z, Wang Q (2005): Distribution and Evaluation of Main Heavy Metals and Available Microelements in Soils in the Northern Area of Heilongjiang Province. CHINESE JOURNAL OF SOIL SCIENCE 36, 880-884</t>
  </si>
  <si>
    <t>Wei D, Chi F, Shi W, Li S, Wang J (2007): Spatial Variability of Heavy Metals in Soils in the Southern  Black soil Area of Heilongjiang Province. System Sciemces and Comprehensive Studies In Agriculture 23, 65-68</t>
  </si>
  <si>
    <t>Chen Y, Wang H, Zhou J, Zhao Y (2012a): Heavy Metals Distribution Characteristics and Pollution Assessment in Farmland Soils of Hailun City, Heilongjiang Province. Soils 44, 613-620</t>
  </si>
  <si>
    <t>Wang Y, Chen Y, Meng S, Hao X, Zang C (2008): Soil investigation and evaluation of heavy metals of  vegetable production base in Chang Xing, Heishan XIANDAI NONGYE KEJI, 38-38</t>
  </si>
  <si>
    <t>Zhou J 2005: Hengyang county main agricultural products producing area of soil heavy metal pollution research, Agricultural University Of Hunan</t>
  </si>
  <si>
    <t>Liu G, Liang C, Du L, Chen X, Wang F (2006): Primary Study of Heavy Metal Contamination of Soil in the Area of Hongtou Mountians. Chinese Agricultural Science Bulletin 22, 364-367</t>
  </si>
  <si>
    <t>Liu c 2011: Major river basin of hunan province soil heavy metal pollution, and the evaluation of the potential risks, Hebei agricultural university,</t>
  </si>
  <si>
    <t>Xi C, Dai T, Zhang H, Liu W (2008): Investigation and Assessment on Pollution of Soil Heavy Metals in Xiangtan City. Bulletin of Soil and Water Conservation 28, 133-137</t>
  </si>
  <si>
    <t>Chen J, Zhang H, He X, Cao Y, Yang G (2010): Distribution and Evaluation on Potential Ecological Risk of Heavy Metals in Soils of Huzhou. SOILS 42, 595-599</t>
  </si>
  <si>
    <t>Li L, Chen B (2011): Survey and Evaluation of Heavy Metal Contamination of Soils and Vegetables in Huaihua. Academic Periodical of Farm Products Processing, 133-135</t>
  </si>
  <si>
    <t>Jin Q (2012b): Renhuai each soil heavy metal lead in the investigation.</t>
  </si>
  <si>
    <t>Miao y, Wang Y, Wang Q, Li H (2010): Huaihe river and its tributaries soil heavy metal lead and cadmium content and evaluation. Jiangxi agricultural journals 22, 104-107</t>
  </si>
  <si>
    <t>Xiao X, Zhao N, Yuan J (2014): A town in the huaihe river basin, characteristics of agricultural soil heavy metal content and the evaluation of the pollution. Spectroscopy and spectral analysis 7, 014</t>
  </si>
  <si>
    <r>
      <t>Fang A, Hu Y, Niu S, Guan Y (2011): Distribution Characteristic and Assessment of Nickel Contents in Soil in Newly-developed Shannan District of Huainan City. Journal of Anhui University of Science and Technology</t>
    </r>
    <r>
      <rPr>
        <sz val="10"/>
        <rFont val="宋体"/>
        <family val="2"/>
        <charset val="134"/>
      </rPr>
      <t>：</t>
    </r>
    <r>
      <rPr>
        <sz val="10"/>
        <rFont val="Times New Roman"/>
        <family val="1"/>
      </rPr>
      <t>Natural Science 31, 21-24</t>
    </r>
  </si>
  <si>
    <t>Li H, Yan S, Cui L (2008b): Huainan xinji mine soil heavy metal pollution evaluation. The mining safety and environmental protection 35, 36-37</t>
  </si>
  <si>
    <t>Zhang X, Liu Y (2010b): Big huanjiang guangxi hechi plate force village offshore fields analysis of heavy metal pollution. Agricultural journal of environmental science 29, 80-83</t>
  </si>
  <si>
    <t>Yang J, Chen J, Cao S, Zhang Y, Wang G, Wang X, Chen L (2009): Assessment of heavy metals in tobacco planting soils in areas surrounding  Shennongjia and their accumulation characteristics. Acta Tabacaria Sinica 15, 31-34</t>
  </si>
  <si>
    <t>Zhang P, Qin M, Chen L, Hu C, Zhao Y, Dong W (2013c): The lower reaches of the Yellow River Yellow River in kaifeng period of soil heavy metal distribution characteristics and the potential risk assessment. Environmental science 34, 3654-3662</t>
  </si>
  <si>
    <t>Cai W (2009): Study on the Conditions of Heavy Metal Contamination of Basic Farmland Soil of Huangshi City. ENVIRONMENTAL SCIENCE AND MANAGEMENT 34, 80-82</t>
  </si>
  <si>
    <t>Cai W, He Z, Liu H (2006): Study on the Conditions of Heavy Metal Contamination of Vegetable Farm Soil in the Suburb of Huangshi city. JOURNAL OF HUANGSHI INSTITUTE OF TECHNOLOGY 22, 69-72,76</t>
  </si>
  <si>
    <t>Zeng Y, Ye Z (2009): Characteristics and Assessment of Soil Contamination by Heavy Metals Around Zinc Smelling Plant of Huxian. SCIENCE &amp; TECHNOLOGY INFORMATION, 346-347</t>
  </si>
  <si>
    <t>Gu Y (2011): Assessment of Soil Environmental Quality in Typical Coal Mining Areas in Jixi and Hegang,Heilongjiang Province. Journal of Northeast Forestry University 39, 117-119</t>
  </si>
  <si>
    <t>Li D 2012: Based on GIS and statistical interpolation of spatial distribution of soil heavy metals and pollution evaluation research, Kunming university of science and technology</t>
  </si>
  <si>
    <t>Li L, Feng X, Lu J, Chen W, Lv Q, Wu K (2008c): Evaluation of soil environmental quality in agricultural production areas  based on different standards in Zhengzhou City. Transactions of the Chinese Society of Agricultural Engineering 24, 89-94</t>
  </si>
  <si>
    <t>Zhou S, Liao F, Wu S, Ren K, Zhang H, Li Z (2008): Farmland soil heavy metal pollution in typical areas of Jiangsu Province based on classification sample plots. Transactions of the Chinese Society of Agricultural Engineering 24, 78-83</t>
  </si>
  <si>
    <t>Yang Y, Li L, Yu Y, Li D, Yang J (2012): Analysis of Heavy Metals Distribution Characteristics and Sources Based on Agricultural Region Statistics of Taihu Lake Basin. Research of Environmental Sciences 25, 1319-1327</t>
  </si>
  <si>
    <t>oil</t>
    <phoneticPr fontId="2" type="noConversion"/>
  </si>
  <si>
    <t>Ren J, Liu F, GAo W (2009): Study of Effection on Soil aroud Farmland by Exploited Oil Field in Daan, Jilin. ENVIRONMENTAL PROTECTION SCIENCE 35, 95-97,127</t>
  </si>
  <si>
    <t>Liang H, Cao T, Zhang L (2012): Jilin province farmland heavy metal content and its accumulation in plants. Jilin agricultural science 36, 59-62</t>
  </si>
  <si>
    <t>Cao T, Liang J, Chen B, Wang H, Wang N, Liu C, Yu L, Zhu P (2013): Safety Evaluation on Heavy Metal Content of Pb, Cd, Hg, Se in Different  Types of Agriculture Soil in Jilin Province. Jilin Agricultural Sciences 38, 30-33</t>
  </si>
  <si>
    <t>Wang h 2014: Jilin province soil - compound pollution of heavy metals in rice assessment system of environmental quality analysis and research, Graduate school of Chinese academy of sciences (northeast institute of geography and agricultural ecology)</t>
  </si>
  <si>
    <t>Huang X, Chai S, Zhang Q, Gao L (2010): In the west of jilin province forms of heavy metals in soil and its potential ecological impact assessment. Science, technology and engineering, 1717-1722</t>
  </si>
  <si>
    <t>Niu J, Wang Q, Guo Q, Yu Y, Li Y, Huang C, Li F (2011): Heavy metals spatial distribution character of Jixian county farmland soil. JOURNAL OF NORTHEAST AGRICULTURAL UNIVERSITY 42, 113-116</t>
  </si>
  <si>
    <t>Zhang A, Yang L, Sun W, Zu Y (2012): Content of Arsenic and Its Influencing Factors in Several Vegetables. Journal of Anhui Agricultural Sciences 40, 10100-10102</t>
  </si>
  <si>
    <t>Zhang Y 2010b: Jinan agricultural research and evaluation of soil heavy metal pollution and preliminary study of the effects on animals and plants, Shandong normal university.</t>
  </si>
  <si>
    <t>Li Y, Li J (2012): Jiamusi soil environmental quality research. Chinese journal of environmental management cadre institute 22, 15-18</t>
  </si>
  <si>
    <t>Hong C, Huang J, Ye Z, Jia Y (2009): Vegetable soil heavy metal content analysis of the preliminary investigation in Jiaxing. Agro-Environment and Development, 76-79</t>
  </si>
  <si>
    <t>Xu H, Zhu L, Yang J, Hu S, Zhou X, Pan L, Song H (2011a): Survey and Evaluation of Heavy Metal Pollution in Soil of Jiayu Vegetable Base. HUBEI AGRICULTURAL SCIENCES 50, 1347-1349</t>
  </si>
  <si>
    <t>Wang G, Hua M, Zheng J, Zhu B (2006a): Evaluation on distribution and pollution of soil heavy metals in Jiangdu City. JIANGSU GEOLOGY 30, 294-298</t>
  </si>
  <si>
    <t>Pan Y, Liao Q, Hua M (2014): The magnetism of the typical in southern jiangsu in evaluation of heavy metals in soil and crops. Geophysical and geochemical exploration 38, 318-324</t>
  </si>
  <si>
    <t>Wu X, Xu Q, Wang J, Bian X (2005): Soil heavy metal pollution of conventional farmland in Nantong, Jiangsu JIANGSU AGRICULTURAL SCIENCES, 124-126</t>
  </si>
  <si>
    <t>Liao Q, HUa M, Jin Y, Huang S, Zhu B, Weng Z, Pan Y (2009): A preliminary study of the distribution and pollution source of heavy metals in soils of Jiangsu Province. GEOLOGY IN CHINA 36, 1163-1174</t>
  </si>
  <si>
    <t>Chen C 2006a: Heavy metal pollution status evaluation and comparative study of time and space in Dexing, Jiangxi Thesis, Chengdu University of Technology</t>
    <phoneticPr fontId="2" type="noConversion"/>
  </si>
  <si>
    <t>Xu C, Su Q, Li J, Fan F (2006): Farmland soil heavy metal content and pollution evaluation in Jiangxi The national farmland soil pollution monitoring and evaluation technology seminar, China's Inner Mongolia hailar, pp. 5</t>
  </si>
  <si>
    <t>Wen b, Zhang T, Li X, Xie Z (2014): Longnan region of jiangxi selenium-rich soil resources development feasibility study. China's geological 41, 256-263</t>
  </si>
  <si>
    <t>Yu J, Liu Y, Yao J (2008): Study on Heavy Metal Speciation and Accumulation in Paddy Soil of Jiangxi Province. ACTA AGRICULTURAE JIANGXI 20, 57-60,65</t>
  </si>
  <si>
    <t>Chen Y 2008: Jiangxi province new stem GAP base soil, and the evaluation of the heavy metals in Chinese medicinal materials, Nanchang university</t>
  </si>
  <si>
    <t>Wang M, Wang H, Xue L (2006b): Heavy Metal Pollution of the Farmland of Jiangyin City and Its Evaluation. SOILS 38, 470-476</t>
  </si>
  <si>
    <t xml:space="preserve">Jin W, Nan Z, Liu X, Wang S, Li Y, Huang H, Zhao C (2010): SPECIATION AND BIOAVAILABILITY ASSESSMENT OF Cu, Zn AND Ni IN ARGRICULTURAL SOILS FROM JINCHANG, GANSU, CHINA. </t>
  </si>
  <si>
    <t>Zhang Y, Mao D (2012): Fuzzy Comprehensive Evaluation of Heavy-metals Polluted Degree for Selenium-rich Vegetable Soil in Jinhua City. Hunan Agricultural Sciences, 47-49</t>
  </si>
  <si>
    <t>Zhao y, Liu Y, He T, Shi J (2014): Spatial variation of gold mining area of soil heavy metal chromium and zinc. Mining research and development 5, 038</t>
  </si>
  <si>
    <t>Bao S (2013): Jinzhou city basic farmland soil environment quality present situation and the analysis. Green technology, 184-185</t>
  </si>
  <si>
    <t>Cheng J, Zhang L (2013): In recent 20 years in shandong province farmland soil heavy metal content in the typical features and accumulation rate. Soils 45, 99-104</t>
  </si>
  <si>
    <t>Qi X, Wang R, Qin H (2011): Research and Evaluation of Heavy Metal Content of Soil in Vegetables Production Base of Jincheng. Journal of Shanxi Agricultural University(Natural Science Edition) 31, 456-459</t>
  </si>
  <si>
    <t>Wang R, Lv J (2008): Jinzhong basin development of pollution-free vegetables, soil environmental quality analysis.</t>
  </si>
  <si>
    <t>Zhao X, Huang S (2012): Analysis and Evaluation of Environmental Quality of Reclaimed Soil in Jun'AN Mining Area. Safety and Environmental Engineering 19, 59-61</t>
  </si>
  <si>
    <t>Qin S, Wang Z, Liu M (2007): Contents and Its Characters of Heavy Metals with Tobacco-Growing Soils  in Zhengan County of Remote Karst Agricultural Area. Journal of Soil and Water Conservation 21, 72-75</t>
  </si>
  <si>
    <t>Chen Z, Wang Y, Duan H, Zhao Z (2012b): Vertical distribution characteristics of heavy metals in agricultural soil profiles under rice-wheat system in Heigangkou Yellow River Irrigation Region. Chinese Journal of Eco-Agriculture 20, 480-487</t>
  </si>
  <si>
    <t>Li L, Wu P (2006): Mining area of soil heavy metal pollution status quo investigation. Anhui agricultural science 34, 3136-3137</t>
  </si>
  <si>
    <t>Li G (2004): Investigation on The Oil Heavy Metals Pollution by Wastewater Irrigation of Vegetable Plots in Kuitun City. Arid Environmental Monitoring 17, 218-221</t>
  </si>
  <si>
    <t>Chen J, Zhang N, Qin L, Chen H (2004a): Heavy metal pollution and pesticide residues in soils of Kunming area. RURAL ECO-ENVIRONMENT 20, 37-40</t>
  </si>
  <si>
    <t>Zu Y, Li Y, Chen H, Chen J (2003): Kunming vegetables and the soil in the lead, cadmium, copper and zinc levels, and the evaluation of the pollution. Yunnan Environmental Science 22, 55-57</t>
  </si>
  <si>
    <t>Peng M 2009: Orchid lead-zinc mine area surrounding soil and vegetables heavy metal pollution status in research. Thesis</t>
  </si>
  <si>
    <t xml:space="preserve">Peng M 2009: Orchid lead-zinc mine area surrounding soil and vegetables heavy metal pollution status in research. </t>
  </si>
  <si>
    <t>Wang Y, Zhao J, Zhao G (2007): Analysis and Evaluation of Heavy Metal Content of Vegetable Garden Soil in Anning District of Lanzhou City. JOURNAL OF ANHUI AGRICULTURAL SCIENCES 35, 5804-5805</t>
  </si>
  <si>
    <t>Zhang B, Zheng H, Zhang R (2009a): Cadmium concentrations in vegetables and soils in Lanzhou City and its potential risk to human health. Journal of Gansu Agricultural University 44, 112-116</t>
  </si>
  <si>
    <t>Su W 2010: Lancang river shelter-forest basin mining area water and soil mainly research of heavy metal pollution and human health effects, Dali college</t>
  </si>
  <si>
    <t>Su W 2011: Lancang river shelter-forest basin mining area water and soil mainly research of heavy metal pollution and human health effects, Dali college</t>
  </si>
  <si>
    <t>pb/</t>
    <phoneticPr fontId="2" type="noConversion"/>
  </si>
  <si>
    <t>Su W 2012: Lancang river shelter-forest basin mining area water and soil mainly research of heavy metal pollution and human health effects, Dali college</t>
  </si>
  <si>
    <t>Su W 2013: Lancang river shelter-forest basin mining area water and soil mainly research of heavy metal pollution and human health effects, Dali college</t>
  </si>
  <si>
    <t>Su W 2014: Lancang river shelter-forest basin mining area water and soil mainly research of heavy metal pollution and human health effects, Dali college</t>
  </si>
  <si>
    <t>Zhao L, Huang P, Kong L (2005): Yueqing standard farmland of heavy metal content analysis. Zhejiang agricultural science 1, 0-398</t>
  </si>
  <si>
    <t>Guan H, Wan H, Wang X, Yang G, Zhu Y (2006): Distribution and pollution assessment of heavy metals in soil samples of Leizhou Peninsula. ENVIRONMENTAL POLLUTION AND CONTROL 28, 757-760,771</t>
  </si>
  <si>
    <t>Xiao Z, Lan S, Tian X, Chen G, Su P (2010): Assessment of Heavy Metal Pollution in Soils of Lizhou Agricultural Products Base. SICHUAN ENVIRONMENT 29, 131-135</t>
  </si>
  <si>
    <t>Lin W, Lin Y (2014): The lianhua mining area of heavy metals in soil - crop systems control. Journal of ecological environment 4, 662-668</t>
  </si>
  <si>
    <t>Li J, Yuan J, Cai G, Peng Y, Gong F (2010a): Relations and Pollution Assessment of the Cd,Cu Content of Soil and Buckwheat in Liangshan Prefecture. Modern Agricultural Science and Technology, 307-308</t>
  </si>
  <si>
    <t>Ren J, Yu C, Wang J (2012): Geochemical Characteristics and Spatial Variation of Heavy Metals in  Soils from Main Rice Growing Regions of Liao River  ---In the Case of Panjin. Chinese Journal of Soil Science 43, 1094-1097</t>
  </si>
  <si>
    <t>Liu Z, Zhao P, Dong Z, Hu W (2011c): HEALTH RISK ASSESSMENT OF SOIL HEAVY METALS POLLUTION IN TIEFA MINING IN LIAONING PROVINCE. Energy Environmental Protection 25</t>
  </si>
  <si>
    <t>Zhu Z, HuANG Q, Zhang Y, Xue J, Yang Q (2010): The Contents of Heavy-metals in Different Types of Cultivated Soil in Linli County and Its Evaluation of Environmental Quality. HUNAN AGRICULTURAL SCIENCES, 45-47</t>
  </si>
  <si>
    <r>
      <t>Hu M, Zhang X (2008): Lintao pollution-free vegetable base soil heavy metal pollution evaluation. AGRO-ENVIRONMENT AND DEVELOPMENT 25, 129-131</t>
    </r>
    <r>
      <rPr>
        <sz val="10"/>
        <rFont val="宋体"/>
        <family val="3"/>
        <charset val="134"/>
      </rPr>
      <t>，</t>
    </r>
    <r>
      <rPr>
        <sz val="10"/>
        <rFont val="Times New Roman"/>
        <family val="1"/>
      </rPr>
      <t>137</t>
    </r>
  </si>
  <si>
    <t>Zhao H, Liu P, Wan S, Zhang Y, Dong L, Yang L, Yu S (2011): Analysis and Evaluation on Soil Environmental Quality of Peanut Farmland in Linyi. Acta Agriculturae Jiangxi 23, 122-125</t>
  </si>
  <si>
    <t>Ge Y, Cui X, Zhang X, Feng L (2013): Vegetable origin of soil heavy metal pollution evaluation in Lingqiu county. Journal of Shanxi Agricultural Sciences 41, 163-166</t>
  </si>
  <si>
    <t>Liu N, Cheng W, Zhu G (2006): Willow wax plum GAP base of ecological environment quality evaluation [J]. Modern Chinese medicine research and practice 20, 10-11</t>
  </si>
  <si>
    <t>Wang G, Wang Y (2007): Regarding luan vegetable soil and vegetables heavy metal pollution evaluation. West anhui university journal 23, 67-71</t>
  </si>
  <si>
    <t>Jin C, Jin M, Yuan C, Zhou S (2011): Evaluation of Heavy Metal Pollutions in Farmland Soil of Suburb in Longjing City. Journal of Anhui Agricultural Sciences 39, 20433-20434,20440</t>
  </si>
  <si>
    <t>Oil</t>
    <phoneticPr fontId="3" type="noConversion"/>
  </si>
  <si>
    <t>Liang J 2011: Study on soil's heavy metal contents and soil quality evaluation of LongDong tableland area. master Thesis, Lanzhou University</t>
  </si>
  <si>
    <t>SHi J, Li X, Hu m, Xu W, Xu M, Jiao J (2014): Longnan Chinese herbal medicine base soil heavy metal content and evaluation. Gansu agricultural science and technology, 29-32</t>
  </si>
  <si>
    <t>Sun X, Zheng Y, Cheng B, Wang C, Wu Z, Wang Z (2006): Between export zones in peanut field and its products. China's agriculture notified 22, 368-370</t>
  </si>
  <si>
    <t>Cao J, Zhang B, Dong J, Wang Y, Zhou C (2010): Regulation of major grain producing areas of farmland soil heavy metals and organochlorine pesticide pollution research. Jiangsu Agricultural Sciences, 307-309</t>
  </si>
  <si>
    <t>Zhu M, PAng J, Zhang W, Li X, Chang M, Zhang C (2009b): Investigation and Assessment on Heavy Metals of Agricultural  Soil and Apple Orchard Soil in Luochuan. System Sciemces and Comprehensive Studies In Agriculture 25, 142-146</t>
  </si>
  <si>
    <t>Bai S, Lu S (2007): Analysis and Evaluation on Concentration of Heavy Metals in Soils of Industrial Area and Suburb Cropland of Luoyang City. Journal of Agro-Environment Science( J. Agro-Environ. Sci.) 26, 257-261</t>
  </si>
  <si>
    <t>Zhu S, Dong T, Jiang Y (2008): Luoyang suburb vegetable to the research of heavy metal content in soil and vegetables. Anhui agricultural science 36, 837-839</t>
  </si>
  <si>
    <t>Cheng Y, Zhou y (2010): Luoyang heavy metal content in vegetable base soil sampling analysis and evaluation. Trace elements in guangdong science 17, 41-45</t>
  </si>
  <si>
    <t>Shen T, Xiao J, Jiang S, Wang Y (2013b): Tianmen city soil of green food ecological risk early warning and assessment of heavy metals. Agricultural environment and ecology security, the fifth national agricultural academic conference on environmental science</t>
  </si>
  <si>
    <t>Liu X 2010: Coal mining area of soil heavy metal pollution of space points of the opposite sex, Xian university of science and technology,</t>
  </si>
  <si>
    <t>Mn Ore</t>
    <phoneticPr fontId="2" type="noConversion"/>
  </si>
  <si>
    <t>Lai Y, Tang W, Deng H, Li M, Yu F, Li Y (2009): Fuzzy Synthetic Assessment of Heavy Metal Contamination in Crop-reclaimed Mn Minelands. JOURNAL OF GUANGXI NORMAL UNIVERSITY(NATURAL SCIENCE EDITION) 27, 76-80</t>
  </si>
  <si>
    <t>Lai Y, Tang W, Deng H, Li M, Yu F, Li Y (2009): Fuzzy Synthetic Assessment of Heavy Metal Contamination in Crop-reclaimed Mn Minelands. JOURNAL OF GUANGXI NORMAL UNIVERSITY(NATURAL SCIENCE EDITION) 27, 76-81</t>
  </si>
  <si>
    <t>Lai Y, Tang W, Deng H, Li M, Yu F, Li Y (2009): Fuzzy Synthetic Assessment of Heavy Metal Contamination in Crop-reclaimed Mn Minelands. JOURNAL OF GUANGXI NORMAL UNIVERSITY(NATURAL SCIENCE EDITION) 27, 76-82</t>
  </si>
  <si>
    <t>Lai Y, Tang W, Deng H, Li M, Yu F, Li Y (2009): Fuzzy Synthetic Assessment of Heavy Metal Contamination in Crop-reclaimed Mn Minelands. JOURNAL OF GUANGXI NORMAL UNIVERSITY(NATURAL SCIENCE EDITION) 27, 76-83</t>
  </si>
  <si>
    <t>Lai Y, Tang W, Deng H, Li M, Yu F, Li Y (2009): Fuzzy Synthetic Assessment of Heavy Metal Contamination in Crop-reclaimed Mn Minelands. JOURNAL OF GUANGXI NORMAL UNIVERSITY(NATURAL SCIENCE EDITION) 27, 76-84</t>
  </si>
  <si>
    <t>Lai Y, Tang W, Deng H, Li M, Yu F, Li Y (2009): Fuzzy Synthetic Assessment of Heavy Metal Contamination in Crop-reclaimed Mn Minelands. JOURNAL OF GUANGXI NORMAL UNIVERSITY(NATURAL SCIENCE EDITION) 27, 76-85</t>
  </si>
  <si>
    <t>Yuan S, Zhao Y, Li Q, Sun L, Liu D (2008): Study on Heavy Metal Content Character in Agricultural Soil in Mihe Basin and Its Influencing Factors. JOURNAL OF ANHUI AGRICULTURAL SCIENCES 36, 4237-4238,4240</t>
  </si>
  <si>
    <t>Sun j, Ouyang C, Su H, Li J (2014): Mianyang city major vegetable base soil heavy metal pollution characteristics and assessment. Mianyang normal university journal 33, 120-125</t>
  </si>
  <si>
    <r>
      <t>Zheng H (2013): Spatial Variability and Pollution Assessment of Heavy  Metals in Southeastern Fujian Soil. Jilin Normal University Journal</t>
    </r>
    <r>
      <rPr>
        <sz val="10"/>
        <rFont val="宋体"/>
        <family val="2"/>
        <charset val="134"/>
      </rPr>
      <t>：</t>
    </r>
    <r>
      <rPr>
        <sz val="10"/>
        <rFont val="Times New Roman"/>
        <family val="1"/>
      </rPr>
      <t>Natural Science Edition 34, 32-37</t>
    </r>
  </si>
  <si>
    <t>Yu Y, Hu L (2010): A typical agricultural areas of farmland preliminary evaluation of the health risks of soil heavy metal pollution. Environmental and health magazine, 693-696</t>
  </si>
  <si>
    <r>
      <rPr>
        <sz val="10"/>
        <rFont val="宋体"/>
        <family val="2"/>
        <charset val="134"/>
      </rPr>
      <t>电镀</t>
    </r>
    <phoneticPr fontId="2" type="noConversion"/>
  </si>
  <si>
    <t>Chen Z, Wang Y, Yu M, Li J (2010b): Investigation for Chromium-Polluted Soil and Characteristics of Plant Accumulation nearby Electroplating Factory. CHINESE AGRICULTURAL SCIENCE BULLETIN 26, 363-368</t>
  </si>
  <si>
    <t>Mu mining</t>
    <phoneticPr fontId="2" type="noConversion"/>
  </si>
  <si>
    <t>Cong Q, Cong F (2009): Ecological Risk Warning Assessment of the Soil Polluted  by Heavy Metals in the Vegetable Land Irrigated with  Wastewater around the Areas of Molybdenum Ore. Environmental Protection Science 35, 63-65</t>
    <phoneticPr fontId="2" type="noConversion"/>
  </si>
  <si>
    <t>Zhu M, Luo Y, Zhao X, Lu Z, Wei X (2005): Survey and Evaluation of Heavy Metal Contamination of Soil and Vegetables in the Vegetable Bases in Suburbs of Nanchang. ACTA AGRICULTURAE UNIVERSITATIS JIANGXIENSIS 27, 781-784</t>
  </si>
  <si>
    <t>He Z (2009): Nanchong suburbs vegetable base soil heavy metal pollution condition investigation and evaluation. AGRO-ENVIRONMENT &amp; DEVELOPMENT 26, 91-94</t>
  </si>
  <si>
    <t>Pan D, Zhang Y, Li C, Sun H (2006): Contents and Evaluation of Heavy Metals in Soil of Nanchong City. JOURNAL OF CHINA WEST NORMAL UNIVERSITY(NATURAL SCIENCES) 27, 221-224</t>
  </si>
  <si>
    <t>Li X, Chen Z (2013): The southern mining ground soil and vegetables heavy metal content and its health risk assessment. Journal of soil and water conservation, 146-151</t>
  </si>
  <si>
    <t>Zhou W, Li R, Yue H, Shen S, Zhu H, Xie X (2009): Characteristics and Assessment of Heavy Metal Pollution in Vegetable Soils in Jiangbei Area of Nanjing City. JOURNAL OF NANJING INSTITUTE OF METEOROLOGY 32</t>
  </si>
  <si>
    <t>281+282</t>
    <phoneticPr fontId="2" type="noConversion"/>
  </si>
  <si>
    <t>283+284</t>
    <phoneticPr fontId="2" type="noConversion"/>
  </si>
  <si>
    <t>Chen P, Yang M, Zhu X, Zheng X, Luo D, Bai H, Jiang D, Fang Y (2004b): Investigation and evaluation of heavy metal pollution in the ecological agriculture planning area soils of Hezhou in Nanning. JOURNAL OF GUANGXI AGRICULTURAL AND BIOLOGICAL SCIENCE 23, 72-75</t>
  </si>
  <si>
    <t>Wang Z, Zhang Q, Cheng L, Tong L, HAi Q (2012): Inner Mongolia baotou city sewage irrigation farmland soil chromium potential ecological risk assessment. Jiangsu Agricultural Sciences 40, 344-346</t>
  </si>
  <si>
    <t>Li W, Chen G, Yu Q, Yu R, Bao H, Yu T (2014): Licorice and heavy metal content in soil and different regions of Inner Mongolia. Journal of Inner Mongolia university (natural science edition) 6, 016</t>
  </si>
  <si>
    <t>Li W, Chen G, Yu Q, Yu R, Bao H, Yu T (2014): Licorice and heavy metal content in soil and different regions of Inner Mongolia. Journal of Inner Mongolia university (natural science edition) 6, 017</t>
  </si>
  <si>
    <t>Zhang F, You M, Liu J, Luo H, Feng X, Ren C (2008): Analysis of Heavy Metal Pollution in Vegetable Field in Inner Mongolia Suburb. INNER MONGOLIA AGRICULTURAL SCIENCE AND TECHNOLOGY, 74-75,88</t>
  </si>
  <si>
    <t>Wang G, Sun L (2007): Investigation and Appraisal of the Heavy Metal Pollution of Soil in Sewage Irrigation in Eastern Inner Mongolia. SHANXI SCIENCE AND TECHNOLOGY, 115-116</t>
  </si>
  <si>
    <t>Neimeng</t>
  </si>
  <si>
    <t xml:space="preserve">Bao F, Li Y, Li J, Hao X, Ma Z, Zhao L Evaluation on Soil Environmental Quality in the Hetao Area of Inner Mongolia. </t>
  </si>
  <si>
    <t>Pang L, Zhang F, Li X, Cui Y, Feng X, Liu J (2011): Heavy Metal Content in Agro-pastoral Transition Area and its Differentiation. Inner Mongolia Agricultural Science and Technology, 71-72</t>
  </si>
  <si>
    <t>Zhu Y, Wang X, MAo X, Liu Y (2009c): Analysis and Fuzzy Comprehensive Assessment of Heavy Metal Contamination of Soil in Tuoketuo Area,Inner Mongolia. GEOSCIENCE 23, 365-371</t>
  </si>
  <si>
    <t>Kang W, Xu Y, Yao X (2014): Ejin horo banner, Inner Mongolia agricultural soil environmental quality assessment study. Earth and Environment</t>
  </si>
  <si>
    <t>Wang B (2010): Ningbo yinzhou district agricultural soil heavy metal content and evaluation. Agro-Environment and Development 27, 85-87</t>
  </si>
  <si>
    <t>Liu F, Wu H, Xu B (2013): Part of ningxia rural soil cadmium and lead the investigation. Journal of Environment and Health 30, 843</t>
  </si>
  <si>
    <t>Li H, Mao L, Ren X (2008a): The determination and evaluation of heavy metals content in crop and soil at Hongsipu region. NINGXIA ENGINEERING TECHNOLOGY 7, 9-11</t>
  </si>
  <si>
    <t>Power Plant</t>
    <phoneticPr fontId="2" type="noConversion"/>
  </si>
  <si>
    <t>Fu Y 2010a: The spatial distribution and pollution of heavy metals in soil around coal-fired power plant in ningxia evaluation research [D], Beijing forestry university</t>
  </si>
  <si>
    <t>Fu Y 2010b: The spatial distribution and pollution of heavy metals in soil around coal-fired power plant in ningxia, Beijing forestry university</t>
  </si>
  <si>
    <t>Liu Z, Wang J, Jiang X, Yong J (2005): Soil environmental quality monitoring and evaluation of basic farmland protection areas in Ningxia. NINGXIA JOURNAL OF AGRICULTURE AND FORESTRY SCIENCE AND TECHNOLOGY 2, 28-30</t>
  </si>
  <si>
    <t>Sun L 2008: Farmland soil heavy metal pollution evaluation and spatial distribution research in  Nong'an County.</t>
  </si>
  <si>
    <t>Huang S, Jin J, He A (2007a): Farmland soil heavy metal under different ways of using regional differentiation and evaluation. Agricultural journal of environmental science 26, 540-548</t>
  </si>
  <si>
    <t>Huang S, Jin J, He A (2007): Farmland soil heavy metal under different ways of using regional differentiation and evaluation. Agricultural journal of environmental science 26, 540-548</t>
  </si>
  <si>
    <t>Tianjin</t>
  </si>
  <si>
    <t>Ma C, Zhou J, Wang H (2006): Farmland soil heavy metal pollution evaluation method research - changshu city, the typical county-level cities in Yangtze river delta as an example. Journal of ecology and rural environment 22, 48-53</t>
  </si>
  <si>
    <t>Zhou Y, Yang D, Lei S (2008): Major vegetable base soil heavy metal content and evaluation in panxi region. Sichuan environment 27, 67-70</t>
  </si>
  <si>
    <t>Wang L (2013): Investigation and Evaluation of Cumulative of Soil Heavy Metals in Vegetable Field of Pingliang. Gansu Agricultural Science and Technology, 30-32</t>
  </si>
  <si>
    <t>Tao J, Zhao M, Li H, Xu Y, Jiang H (2014): Pinglu county planting tobacco soil heavy metal content distribution and safety evaluation and research. Journal of henan agricultural university 48, 11-15</t>
  </si>
  <si>
    <t xml:space="preserve">Li J (2007): Studying of Distribution of Heavy Metal in Vegetable Farm Soil in the Suburb of Putian City. </t>
  </si>
  <si>
    <t>Hu M (2013): Pucheng soil heavy metal pollution assessment and distribution characteristics. Henan agricultural science 42, 57-60</t>
  </si>
  <si>
    <t>Yang Q, Shu Y, Lin Z, Lin L, Zou H, Lan Z (2003): Compound Pollution and Ecological Evaluation of Heavy Metals from Mining Waste Water to Soil-Rice Plant System. Journal of Agro-Environment Science( J. Agro-Environ. Sci.) 22, 385-390</t>
  </si>
  <si>
    <t>Zhang C, Li Z, Deng C (2009): The statistical analysis of soil heavy metal lead and zinc mine and spatial distribution research. Shanghai environmental science 28, 253-257</t>
    <phoneticPr fontId="2" type="noConversion"/>
  </si>
  <si>
    <t>Li C, Wang X, Wu D, Yang J (2011): Research on the Content and Pollution Evaluation of Heavy Metals in Dictyophora rubrovalvata Growing Areas of Northwestern Guizhou Province. Hubei Agricultural Sciences 50, 3739-3742</t>
  </si>
  <si>
    <t>Wu Y, Lin W (2008): Northwestern guizhou mill indigenous zinc smelting area Pb, Cd pollution and ecological restoration. Environmental protection science and technology 14, 34-36</t>
  </si>
  <si>
    <t>Wang L, Zhu E (2008): The study of heavy metals distribution character  in soil about lead-zinc smelt mill in Qinling. Journal of Baoji University of Arts and Sciences(Natural Science Edition) 28, 150-152</t>
  </si>
  <si>
    <t>Liu P, Jiang L, Wan S, Yang L, Yu S, Lin H, Song X (2009b): Analysis of soil quality of peanut farmland in Qingdao. Chinese Journal of Oil Crop Sciences 31, 51-55</t>
  </si>
  <si>
    <t>Chen J, Cai K, Zhao M, Wang W (2011): Investigation and Evaluation on Soil Heavy Metal Pollution of Main Vegetable Producing Areas in Qingdao City. SHANDONG AGRICULTURAL SCIENCES, 63-67</t>
  </si>
  <si>
    <t>Qinghai</t>
  </si>
  <si>
    <t>Han M, Li X (2012): Risk Assessment of Soil Heavy Metal on Qinghai Plateau Huangshui Basin. Journal of Anhui Agricultural Sciences 40, 14244-14245</t>
  </si>
  <si>
    <t>breeding industry</t>
  </si>
  <si>
    <t>Wang H, Li W (2011): The monitoring of QingHeMen breeding park residual mercury in the soil. LVSE DASHIJIU, 19-20</t>
  </si>
  <si>
    <t>Tang L, Zhou Y, Zhang Y, Xie Y, Huang Y (2010): Correlation Between Pb, Cr and Hg Contents in Flue-cured Tobacco and Soil Environmental Factors in Qujing Tobacco Growing Areas. TOBACCO SCIENCE &amp; TECHNOLOGY 7, 53-57</t>
  </si>
  <si>
    <t>Lv J, Zhang Z, Liu Y, Dai J, Wang X, Wang M (2012): Sources Identification and Hazardous Risk Delineation of Heavy Metals Contamination in Rizhao City. ACTA GEOGRAPHICA SINICA 67</t>
  </si>
  <si>
    <t>Feng L, Zhang W, Xiu G, Gao X, Li B, Xu W, Huang Z (2014): Distribution of Mercury in Soil of Yushu and Maduo in the Three Rivers Source Region. Journal of Ecology and Rural Environment 30</t>
  </si>
  <si>
    <t>Zheng X, He X, Wang W (2005): Sanming suburb vegetable base soil nutrient and the status of the heavy metal content. Environment and development in agriculture 21, 46-47</t>
  </si>
  <si>
    <t xml:space="preserve">Chongqing </t>
  </si>
  <si>
    <t>Pei T, Wang La, Bao L, Zhong S, Song Z (2010): Jiang basin, the three gorges reservoir distribution characteristics and evaluation analysis of soil heavy metals. The soil on, 206-211</t>
  </si>
  <si>
    <t>Ye C, Li S, Bo D, Chen X, Zhang Q (2010): Down in the three gorges reservoir area before water storage of soil heavy metal content and ecological risk assessment. Journal of soil 47, 1264-1269</t>
  </si>
  <si>
    <t>Ye C, Li S (2010): Down in the three gorges reservoir area before water storage of soil heavy metal content and ecological risk assessment. Journal of soil 47, 1264-1269</t>
  </si>
  <si>
    <r>
      <t>Li F, Li X, Wu P, Zhao X, Zhang D, Qi Z (2010a): Heavy metals in orchard and vegetable garden soils of Sanya City</t>
    </r>
    <r>
      <rPr>
        <sz val="10"/>
        <rFont val="宋体"/>
        <family val="3"/>
        <charset val="134"/>
      </rPr>
      <t>：</t>
    </r>
    <r>
      <rPr>
        <sz val="10"/>
        <rFont val="Times New Roman"/>
        <family val="1"/>
      </rPr>
      <t>Spatial distribution and contamination evaluation. Chinese Journal of Ecology, 382-386</t>
    </r>
  </si>
  <si>
    <t>Hu C, Lu L, Huang R, Luo X (2013): Amomum villosum cultivation base of environmental quality testing and evaluation. Anhui agricultural science 41, 2898-2899</t>
  </si>
  <si>
    <t>Han Y (2009): Shandong Texas area present situation investigation of soil heavy metal. Agricultural technology and equipment, 6-8</t>
  </si>
  <si>
    <t>Zhang J, Chen S, Deng H, Wu A, Sun W, Chen Y (2012): Part of the bank of shandong province with the soil heavy metal content and the evaluation of the pollution. Acta ecologica sinica 32, 3144-3153</t>
  </si>
  <si>
    <t>Liu P, Zhao H, Liu Z, Wang Y, Yang L, Yu S (2010): Outdoor vegetable producing area of shandong province the environmental quality analysis and evaluation of soil heavy metal content. Agricultural journal of environmental science 29, 1130-1136</t>
  </si>
  <si>
    <t>Liu P, Zhao H, Liu Z (2010): Outdoor vegetable producing area of shandong province the environmental quality analysis and evaluation of soil heavy metal content. Agricultural journal of environmental science 29, 1130-1136</t>
  </si>
  <si>
    <t>Liu Q, DU Z, Shi Y, Zhan J, Pang X (2009a): Evaluation on Environmental Quality of Heavy Metals in Shouguang City,Shandong Province. ACTA AGRICULTURAE UNIVERSITATIS JIANGXIENSIS(NATURAL SCIENCES EDITION) 30, 144-148</t>
  </si>
  <si>
    <t>Huang Q, Wu K, Zhao Y (2009): Shanxi qixian plain surface soil Hg, Cd, Pb, As the investigation and evaluation, Soil resources sustainable use and ecological environment security, director of Chinese soil learn the 11th second enlarged meeting and conference proceedings</t>
  </si>
  <si>
    <t>Li W, Xie Y (2010): Assessment on Heavy Metal Pollution of Soil in Main Vegetable Areas of Shanxi Province. SCI-TECH INFORMATION DEVELOPMENT &amp; ECONOMY 20, 30-33</t>
  </si>
  <si>
    <t>Ma X, Qin J, Feng L (2009): Evaluation of Heavy Metal Pollution of Soil in Vegetables Production Base of Taigu. JOURNAL OF SHANXI AGRICULTURAL UNIVERSITY(NATURAL SCIENCE EDITION) 29, 100-103</t>
  </si>
  <si>
    <t>Li Y (2008): Guanzhong major grain producing areas of soil environmental quality assessment in Shaanxi Agro-Environment and Development 25, 111-113</t>
  </si>
  <si>
    <t>Lv S, Yu D (2012): In hangzhong han area in 2011 rural soil heavy metal lead, cadmium in the monitoring result analysis. Modern medicine and health care 28, 2550-2551</t>
  </si>
  <si>
    <t>Zhao A 2006: Shaanxi tongguan gold mine area, farmland soil heavy metal pollution assessment and crop correlation analysis, Xi 'an: chang 'an university</t>
  </si>
  <si>
    <t>Guo Y, Yang G, Dong Q, Huang C (2007): Distribution of Heavy Metals in Soils from the Typical Regions of Shantou and Their Environmental Pollution ENVIRONMENTAL SCIENCE 28, 1067-1074</t>
  </si>
  <si>
    <t>Zhang X, Zhai B, Zhang X, He J (2011c): Kadsura shangluo area of soil heavy metal content analysis and evaluation. Shaanxi Journal of Agricultural Sciences 57, 57-60</t>
  </si>
  <si>
    <t>Shanghai</t>
  </si>
  <si>
    <t>Meng f, Liu M, SHi T (2008): Shanghai farmland soil heavy metal environment quality evaluation. Environmental science 29, 428-433</t>
  </si>
  <si>
    <t>Wang Y, Zhao Q, Hu Y, Du X, Ge W, Liu W (2011): SURVEY AND CONTAMINATION ASSESSMENT OF HEAVY METALS IN SOIL AND PLANTS AROUND THE Pb/Zn MINE IN SHANGYU,ZHEJIANG PROVINCE. Environmental Chemistry 7, 1355-1360</t>
  </si>
  <si>
    <r>
      <t xml:space="preserve">Hou L, Zhang D, Zhang Y (2011): The spatial distribution features and the status evaluation of heavy metal in farmland soils in Shenyang area. Journal of Liaoning Forestry Science </t>
    </r>
    <r>
      <rPr>
        <sz val="10"/>
        <rFont val="宋体"/>
        <family val="3"/>
        <charset val="134"/>
      </rPr>
      <t>＆</t>
    </r>
    <r>
      <rPr>
        <sz val="10"/>
        <rFont val="Times New Roman"/>
        <family val="1"/>
      </rPr>
      <t xml:space="preserve"> Technology, 5-8+60</t>
    </r>
  </si>
  <si>
    <t>Wang H, Li W (2011): The monitoring of QingHeMen breeding park residual mercury in the soil. LVSE DASHIJIU, 19-21</t>
  </si>
  <si>
    <t>Wang H, Li W (2011): The monitoring of QingHeMen breeding park residual mercury in the soil. LVSE DASHIJIU, 19-22</t>
  </si>
  <si>
    <t>Wang H, Li W (2011): The monitoring of QingHeMen breeding park residual mercury in the soil. LVSE DASHIJIU, 19-23</t>
  </si>
  <si>
    <t>Wang H, Li W (2011): The monitoring of QingHeMen breeding park residual mercury in the soil. LVSE DASHIJIU, 19-24</t>
  </si>
  <si>
    <t>Wang H, Li W (2011): The monitoring of QingHeMen breeding park residual mercury in the soil. LVSE DASHIJIU, 19-25</t>
  </si>
  <si>
    <t>Wang H, Li W (2011): The monitoring of QingHeMen breeding park residual mercury in the soil. LVSE DASHIJIU, 19-26</t>
  </si>
  <si>
    <t>Wang H, Li W (2011): The monitoring of QingHeMen breeding park residual mercury in the soil. LVSE DASHIJIU, 19-27</t>
  </si>
  <si>
    <t>Wang H, Li W (2011): The monitoring of QingHeMen breeding park residual mercury in the soil. LVSE DASHIJIU, 19-28</t>
  </si>
  <si>
    <t>Wang H, Li W (2011): The monitoring of QingHeMen breeding park residual mercury in the soil. LVSE DASHIJIU, 19-29</t>
  </si>
  <si>
    <t>Wang H, Li W (2011): The monitoring of QingHeMen breeding park residual mercury in the soil. LVSE DASHIJIU, 19-30</t>
  </si>
  <si>
    <t>Yang J, Sun L, Yang X, Ma L (2007): Evaluation of the Heavy Metal Pollution in Farmland of Xihe River Outlet in Shenyang. Journal of Agro-Environment Science( J. Agro-Environ. Sci.) 26, 1933-1936</t>
  </si>
  <si>
    <t>Wei X, Li Q, Shi F, Wu Z, Xu S (2012): Assessment of Heavy Metals in Soil,Surface Water and Tobacco Leaf in Shiyan Area and Their Correlations. Acta Agriculturae Jiangxi 24, 95-97</t>
  </si>
  <si>
    <r>
      <t>Lou C, Pan N, Wen W, Ye J, Hou Z (2013): Assessment and Analysis of Heavy Metal Content  in Farmland Soil in Shihezi Reclamation Area. Journal of Shihezi University</t>
    </r>
    <r>
      <rPr>
        <sz val="10"/>
        <rFont val="宋体"/>
        <family val="3"/>
        <charset val="134"/>
      </rPr>
      <t>（</t>
    </r>
    <r>
      <rPr>
        <sz val="10"/>
        <rFont val="Times New Roman"/>
        <family val="1"/>
      </rPr>
      <t>Natural Science</t>
    </r>
    <r>
      <rPr>
        <sz val="10"/>
        <rFont val="宋体"/>
        <family val="3"/>
        <charset val="134"/>
      </rPr>
      <t>）</t>
    </r>
    <r>
      <rPr>
        <sz val="10"/>
        <rFont val="Times New Roman"/>
        <family val="1"/>
      </rPr>
      <t xml:space="preserve"> 31, 541-548</t>
    </r>
  </si>
  <si>
    <t>Guo Z, Cao L, Fan W, BAi P, Zhao M (2012): Shijiazhuang farmland soil lead and cadmium pollution survey. Journal of Environment and Health 29, 1126</t>
  </si>
  <si>
    <t>Chen Y 2008: Evaluation of the effect of shijiazhuang city sewage irrigation area of ecological geochemistry of heavy metals, Shijiazhuang school of economics</t>
  </si>
  <si>
    <t>Chen Y 2009: Evaluation of the effect of shijiazhuang city sewage irrigation area of ecological geochemistry of heavy metals, Shijiazhuang school of economics</t>
  </si>
  <si>
    <t>Non-metallic minerals</t>
  </si>
  <si>
    <t>Li L, Zeng X, Bai L, Li S (2010b): Soil arsenic content and its health risk assessment for agricultural products in the region surrounding Shimen arsenic sulphide mine. Chinese Journal of Applied Ecology, 2946-2951</t>
  </si>
  <si>
    <t>Leather production</t>
    <phoneticPr fontId="2" type="noConversion"/>
  </si>
  <si>
    <t>Li E, Chen C, Kang X, Dong C, Wen Z (2009a): Heavy Metal Pollution Assessment of Soil and Rice of Shuitou Town. ENVIRONMENTAL SCIENCE SURVEY 28, 68-70</t>
  </si>
  <si>
    <t>Gan Y 2009: Sichuan land soil heavy metal element geochemical characteristics and quality evaluation, Chengdu university of technology</t>
  </si>
  <si>
    <t>Li J, Gong F, Peng Y (2012): Assessment on the Heavy Metals Pollution of Agricultural Produce Soil in Yuexi County. Journal of Xichang College 26, 10-12</t>
  </si>
  <si>
    <t>Shi Y, Cheng A, Tao Q (2006): Song county radix bupleuri GAP base of environmental quality assessment. Modern Chinese medicine research and practice 20, 7-10</t>
  </si>
  <si>
    <t>Jin L, Li L, Pan G, Wu X, Liao Q (2007): Distribution of Heavy Metals in the Soil-Rice System and Food Exposure Risk Assessment of North Jiangsu, China. JOURNAL OF ECOLOGY AND RURAL ENVIRONMENT 23, 33-39</t>
  </si>
  <si>
    <t>Jin L, Li L, Pan G, Wu X, Liao Q (2007): Distribution of Heavy Metals in the Soil-Rice System and Food Exposure Risk Assessment of North Jiangsu, China. JOURNAL OF ECOLOGY AND RURAL ENVIRONMENT 23, 33-40</t>
  </si>
  <si>
    <t>Jin L, Li L, Pan G, Wu X, Liao Q (2007): Distribution of Heavy Metals in the Soil-Rice System and Food Exposure Risk Assessment of North Jiangsu, China. JOURNAL OF ECOLOGY AND RURAL ENVIRONMENT 23, 33-41</t>
  </si>
  <si>
    <t>Jin L, Li L, Pan G, Wu X, Liao Q (2007): Distribution of Heavy Metals in the Soil-Rice System and Food Exposure Risk Assessment of North Jiangsu, China. JOURNAL OF ECOLOGY AND RURAL ENVIRONMENT 23, 33-42</t>
  </si>
  <si>
    <t>351+352</t>
    <phoneticPr fontId="2" type="noConversion"/>
  </si>
  <si>
    <t>Yan Y (2011): The Investigation on the Soil Arsentic Pollution in Irrigation  Canal Region in the North Part of Jiangsu Province. Pollution Control Technology 24, 13-15</t>
  </si>
  <si>
    <t>Yan Y (2011): The Investigation on the Soil Arsentic Pollution in Irrigation  Canal Region in the North Part of Jiangsu Province. Pollution Control Technology 24, 13-16</t>
  </si>
  <si>
    <t>Yan Y (2011): The Investigation on the Soil Arsentic Pollution in Irrigation  Canal Region in the North Part of Jiangsu Province. Pollution Control Technology 24, 13-17</t>
  </si>
  <si>
    <t>Yan Y (2011): The Investigation on the Soil Arsentic Pollution in Irrigation  Canal Region in the North Part of Jiangsu Province. Pollution Control Technology 24, 13-18</t>
  </si>
  <si>
    <t>Chen J, XIang Y (2011): Heavy metal pollution situation investigation and analysis in vegetable base of Taizhou region. Shanghai Agricultural Science and Technology, 19-20</t>
  </si>
  <si>
    <t>Bo R, Pan W, Wang H (2008): Taiyuan city five pollution-free vegetable base soil heavy metal content in greenhouse research. Shanxi agricultural science 36, 43-46</t>
  </si>
  <si>
    <t>Xie W, Pan G, Zhou H, Xie J, Guan C (2011): Access of Heavy Metals Pollution of the Sewage Irrigation Region in Taiyuan,China. Journal of Agro-Environment Science 30, 1553-1560</t>
  </si>
  <si>
    <t>Li R, Hao Y, Li G, Jiang Y, Zhang H, Han X (2011): Characteristics and Sources Analysis of Soil Heavy Metal Pollution in Taian City, Shandong, China. Journal of Agro-Environment Science 30, 2012-2017</t>
  </si>
  <si>
    <r>
      <t xml:space="preserve">Liu N, lEI Y, Zhang S, Cui J, ZHang Y (2011a): Characteristics of fruit growing areas of soil heavy metal spatial variation law research - in cangzhou, hebei province, for example. </t>
    </r>
    <r>
      <rPr>
        <sz val="10"/>
        <rFont val="宋体"/>
        <family val="3"/>
        <charset val="134"/>
      </rPr>
      <t>土壤通报</t>
    </r>
    <r>
      <rPr>
        <sz val="10"/>
        <rFont val="Times New Roman"/>
        <family val="1"/>
      </rPr>
      <t xml:space="preserve"> 42, 736-741</t>
    </r>
  </si>
  <si>
    <t>Wang B, Zhang Z (2012): Tianjin suburban farmland soil heavy metal pollution characteristics and potential ecological risk assessment. China's environmental monitoring 28, 23-27</t>
  </si>
  <si>
    <t>Wang T, Wang J, Sun H, Zhang Y (2012): Comtamination of Cadmium and Mercury in Farmland of Tianjin and Extration Methods for Predicting Their Bioavailability. Journal of Agro-Environment Science 31, 119-124</t>
  </si>
  <si>
    <t>Wang J, Tian S, Feng Y (2006): Survey and Evaluation of Heavy Metal Contamination of Soils in Tianjin. Environmental Science and Technology 29, 72-74</t>
  </si>
  <si>
    <t>Yu Y 2013: Tianjin suburban leaf vegetables and vegetable soil heavy metal content of investigation and risk assessment. Thesis, Northwest agriculture and forestry university of science and technology</t>
  </si>
  <si>
    <t>Li Z 2006b: Tianjin sewage irrigation area of heavy metal pollution in soil - wheat systems evaluation and correlation analysis, Tianjin Normal University</t>
  </si>
  <si>
    <t>Shen T, Tao Q, Peng W, Li Q (2013a): Accumulative Heavy Metal Features of Soil and Potential Ecological Risk Assessment on Vegetable Base in Tianmen City. Hubei Agricultural Sciences 52, 2016-2020,2037</t>
  </si>
  <si>
    <t>Tang J, Li H, Cao Z (2007): Investigation and Appraisal of the Heavy Metal Pollution  of Sewaged Soil in Tongliao. Chinese Journal of Spectroscopy Laboratory 24, 949-952</t>
  </si>
  <si>
    <t>Qiu W, Luo X (2012): Study on Mercury Pollution in Vegetables and Soils in Tongkeng Mining Area and Its Sources Analysis. Environmental Protection Science 38, 33-36</t>
  </si>
  <si>
    <t>Yu Q, Li X, Wang J (2007): The Investigation and Evaluation of Pb, Cd, Cr, Hg of the Vegetable Soils in North of Anhui Province. Chinese Agricultural Science Bulletin 22, 263-266</t>
  </si>
  <si>
    <t>He Y, Zhang C, Xu Z, Ni S, Pan R (2009): Geochemical characterization and evaluation of heavy metal elements in cultivated soil of Wanyuan area. COMPUTING TECHNIQUES FOR GEOPHYSICAL AND GEOCHEMICAL EXPLORATION 31, 277-282</t>
  </si>
  <si>
    <t>Sheng Q, Ding G, Sheng K (2012): Natural Disaster Characteristics of Forestry and Main Prevention,, Mitigation Measures in Duyun. Journal of Green Science and Technology, 198-200</t>
  </si>
  <si>
    <t>Liu E, Yang J, Pan X, Wang L (2010): Soil heavy metal content and pollution evaluation in agricultural production base in Wenzhou City. JOURNAL OF ZHEJIANG AGRICULTURAL SCIENCES, 629-632</t>
  </si>
  <si>
    <t>Zhao L 2011: Magnesium magnesium wenxi county industrial production pollution characteristics of the soil environment, Shanxi university</t>
  </si>
  <si>
    <t>Yu H, Wang L, Qian Y (2012): The Characteristics of Spatial Distribution of Hg Content in the Farm Lands in Midong District of Urumqi City. Journal of Xinjiang Agricultural University 34, 427-430</t>
  </si>
  <si>
    <t>Yi Z, Wang L, Qian Y, Sun J (2009): Urumqi farmland soil heavy metal content and evaluation. Resources and environment in arid areas</t>
  </si>
  <si>
    <t>Han J, Ma J (2004): Sewage irrigation area of heavy metal pollution in soil, wheat systems, migration and accumulation, in kaifeng chemical fertilizer river sewage irrigation area as an example. Ecology and Environment 13, 578-580</t>
  </si>
  <si>
    <t>Wu W, Yin S, Liu H, Pan X, Bao Z (2013): Sewage irrigation area of soil heavy metal spatial structure and distribution. Journal of agricultural engineering 29, 165-173</t>
  </si>
  <si>
    <t>Yao Y 2011: Health risk assessment of heavy metals and soil phytoremediation research of Pollution-free vegetables base.  . master Thesis, Anhui Agricultural University</t>
  </si>
  <si>
    <r>
      <t xml:space="preserve">Wang X, Wang L, Fang F, Huang C (2011a): Pollution Characteristics of Heavy Metals in Vegetable Soil in Sanshan District of Wuhu City. Urban Environment </t>
    </r>
    <r>
      <rPr>
        <sz val="10"/>
        <rFont val="宋体"/>
        <family val="3"/>
        <charset val="134"/>
      </rPr>
      <t>＆</t>
    </r>
    <r>
      <rPr>
        <sz val="10"/>
        <rFont val="Times New Roman"/>
        <family val="1"/>
      </rPr>
      <t xml:space="preserve"> Urban Ecology 24, 31-33</t>
    </r>
  </si>
  <si>
    <t>Niu Z, Du Y, Cui B, Wen Q, Liu W, Yang H, Shi Q, Li Y (2006): Studies on residue of heavy metal and chemicals in soils and tobacco leaves. CHINESE TOBACCO SCIENCE 27, 26-28</t>
  </si>
  <si>
    <t>Zhang L (2007): The investigation and analysis of soil heavy metal pollution situation in Wei'yang, Xi'an. AGRO-ENVIRONMENT &amp; DEVELOPMENT 24, 103-105</t>
  </si>
  <si>
    <t>Pang S, Li T, Wang Y, Shen H, Guo Q, Chen D (2010): County farmland soil copper, zinc, chromium content in space mutation characteristics and its influencing factor analysis. China's agricultural science 43, 737-743</t>
  </si>
  <si>
    <t>Guo C, Xiao X, Chen T, Liao X, Song J, Wu B (2008): Heavy Metal Pollution of Soils and Vegetables from Midstream and Downstream of Xiangjiang River. ACTA GEOGRAPHICA SINICA 63, 3-11</t>
  </si>
  <si>
    <t>Zhu J 2012: Xiangxi flowers through lead and zinc mine of heavy metal contaminated soil ecological restoration research, Agricultural University Of Hunan</t>
  </si>
  <si>
    <t>Zhang X, Zhang Y, Chen Y, Du J, Ma D, Du J (2013d): Analysis about heavy metal pollution of different kinds of soil in Xiangfen Journal of Shanxi Normal University, 95-97</t>
  </si>
  <si>
    <t>Zhao X (2014): Farmland soil heavy metal pollution survey and evaluation in Xiangyang city. Journal of Green Science and Technology, 207-209</t>
  </si>
  <si>
    <t>Chen J (2007): Situation Survey on Heavy Metal Pollution in Xiao County Green Food Production Regions. JOURNAL OF HEBEI AGRICULTURAL SCIENCES 11, 88-89,91</t>
  </si>
  <si>
    <t>Liu Q, Zang H, Shi Y (2009b): The Pollution Assessment and Spatial Distribution  of Soil Heavy Metals in Field Scale --Case Study in Yanggu County of Northwest Shandong Province. Acta Pedologica Sinica, 673-678</t>
  </si>
  <si>
    <t>Golden ore</t>
    <phoneticPr fontId="2" type="noConversion"/>
  </si>
  <si>
    <t>Xu Y, Ke H (2007): Xiaoqinling gold mining area of farmland soil heavy metal pollution evaluation. The soil on 38, 732-736</t>
  </si>
  <si>
    <t>Weng T, Wang S (2007): Preliminary study of xiaogan xiaonan soil heavy metal pollution. Agricultural journal of environmental science 26, 39-42</t>
  </si>
  <si>
    <t>Zhang J, Cheng X, Zhong H (2010a): Integrate Risk Assessment and Species Distribution of Heavy Metals in Sewage-irrigated Soil in Xinfu of Xinzhou. JIANGXI SCIENCE 28</t>
  </si>
  <si>
    <t xml:space="preserve">Chen J, Fan W, Sun R, Zhang R Bioavailability and species distribution of heavy metals in sewage-irrigated soil from Xinhe. </t>
  </si>
  <si>
    <t>Wang X 2011: Several of the typical xinjiang changji in soil polluted by heavy metal element content distribution and evaluation, Xinjiang agricultural university,</t>
  </si>
  <si>
    <t>Cui H, Sun X, Liu X (2010): Processed tomato in xinjiang origin of soil polluted by heavy metals and pesticide residues. Career and health, 2234-2235</t>
  </si>
  <si>
    <t>Luo Y, Zheng C, Jiang p, Yu Y, Wu H (2012): The risk assessment of soil heavy metals of kuytun land  in Xinjiang. Chinese Journal of Soil Science, 1247-1252</t>
  </si>
  <si>
    <t>Liu Y, Liu H (2007): Sewage irrigation and soil heavy metal pollution prevention and control in Miquan, Xinjiang Journal of Changji University, 45-48</t>
  </si>
  <si>
    <t>Ren L, Jia D, Wang F (2014): Research and assessment on farmland soil heavy metal content in xinjiang. Xinjiang agricultural science 9, 032</t>
  </si>
  <si>
    <t>Zhou Y, Xie C (2012): The xinjiang production and construction corps soil environmental quality research. Environmental engineering, 375-377</t>
  </si>
  <si>
    <t>Chen M 2006b: Xinjiang spatial variability of soil heavy metals pollution condition and the wastewater irrigation, Xinjiang university</t>
  </si>
  <si>
    <t>Zhang X, Qin J, Wang Q, Li C, Ma Y, Wang Z, Yao G (2014a): Determination and Analysis of Harmful Heavy Metals in Soil of Beef Cattle Farmland in Yili Region. Animal Husbandry and Feed Science 35, 17-20</t>
  </si>
  <si>
    <r>
      <t>Li F, Wang X, Tang F (2012): Potential Ecological Risk Assessment of Heavy Metals in the Suburban Farmland Soil from Xinxiang City. Journal of Henan Normal University</t>
    </r>
    <r>
      <rPr>
        <sz val="10"/>
        <rFont val="宋体"/>
        <family val="3"/>
        <charset val="134"/>
      </rPr>
      <t>（</t>
    </r>
    <r>
      <rPr>
        <sz val="10"/>
        <rFont val="Times New Roman"/>
        <family val="1"/>
      </rPr>
      <t>Natural Science</t>
    </r>
    <r>
      <rPr>
        <sz val="10"/>
        <rFont val="宋体"/>
        <family val="3"/>
        <charset val="134"/>
      </rPr>
      <t>）</t>
    </r>
    <r>
      <rPr>
        <sz val="10"/>
        <rFont val="Times New Roman"/>
        <family val="1"/>
      </rPr>
      <t xml:space="preserve"> 39, 84-87</t>
    </r>
  </si>
  <si>
    <t>Battery</t>
    <phoneticPr fontId="2" type="noConversion"/>
  </si>
  <si>
    <t>Zhu G, Zhang C, Wang J, Wang X, Chen D (2009): Investigation of Heavy Metal Pollution in Soil and Wheat Grains in Sewage-irrigated Area in Sizhuangding,Xinxiang City. JOURNAL OF AGRO-ENVIRONMENT SCIENCE 28, 263-268</t>
  </si>
  <si>
    <t>Zhu G, Su X, Wang X, PAn J (2010): Investigation of the Pollution and Correlation of Heavy Metals in Sewage-irrigated Area in Wangcun, Xinxiang City. JOURNAL OF HENAN NORMAL UNIVERSITY(NATURAL SCIENCE) 38, 102-105</t>
  </si>
  <si>
    <t>Wang X, Pi Y, Shi Y, Pi Y (2005): Investigation of the Heavy Metal Situation in Suburban Farmland Irrigated by Battery Waste Water at Xinxiang. JOURNAL OF HENAN NORMAL UNIVERSITY(NATURAL SCIENCE) 33, 95-97</t>
  </si>
  <si>
    <t>Xiong M, Li X, Zhong W (2009): Analysis of Mercury Contention in Soil of Xinyu City. Journal of Henan Agricultural Sciences, 52-55</t>
  </si>
  <si>
    <t>Lei Z, Xiao R, Hu H, Li C, Wei Y (2013): National highway in xinyang paddy soil heavy metal distribution and evaluation. Hubei province agricultural science 52, 6003-6007</t>
  </si>
  <si>
    <t>Yuan X, Zhang C (2013): Suzhou city mining area, farmland soil heavy metal content and potential ecological risk assessment. Chinese Journal of Soil Science, 232-235</t>
  </si>
  <si>
    <t>Hai M, Yi M (2014): Yanqi basin, the distribution of surface soil heavy metal  source and regional differences. Chinese Journal of Ecology 33, 2789-2795</t>
  </si>
  <si>
    <t>Du Z, Tao L (2007): In horse around mine coal gangue in the soil heavy metal pollution evaluation Journal of lanzhou jiaotong university (natural science edition) 260, 106-107</t>
    <phoneticPr fontId="2" type="noConversion"/>
  </si>
  <si>
    <t>Xu J, Xu Q, Wu J (2005): Investigation on heavy metals content of soil in Yangzhou. Soils and Fertilizers, 12-16</t>
  </si>
  <si>
    <t>Shanxi</t>
    <phoneticPr fontId="2" type="noConversion"/>
  </si>
  <si>
    <t>Cui X, Ge Y (2009): Investigation and Assessment of Heavy Metal Content  in Vegetable Plantations Soil in Yanggao. Journal of Shanxi Agricultural Sciences 37, 55-57</t>
  </si>
  <si>
    <t>Cui X, Ge Y (2009): Investigation and Assessment of Heavy Metal Content  in Vegetable Plantations Soil in Yanggao. Journal of Shanxi Agricultural Sciences 37, 55-57</t>
    <phoneticPr fontId="2" type="noConversion"/>
  </si>
  <si>
    <t>Wang B 2011: Yangling district different terrace farmland soil properties and environmental quality assessment, Northwest agriculture and forestry university of science and technology</t>
  </si>
  <si>
    <t>Zhang A, Liu L, Huang C (2011a): Effects of Long-term Irrigation of Livestock Farm Wastewater on Soil Quality and Vegetable Quality in Vegatable Soils. Journal of Soil and Water Conservation 25, 87-91</t>
  </si>
  <si>
    <t>Yan X, Liao X, Yu B, Zhang W (2011): Accumulation of Soil Arsenic by Panax notoginseng and Its Associated Health Risk. ENVIRONMENTAL SCIENCE 32, 880-880</t>
  </si>
  <si>
    <t>Wang Y, He M, Bai X, Huang B, Yu L (2011b): Soil heavy metal content and evaluation of land consolidation area farmland  in TongZi town, Jiangan, Yibin Computing Techniques for Geophysical and Geochemical Exploration 33, 663-668</t>
  </si>
  <si>
    <t>Li X, Wang H, Gao Y (2013): Soil heavy metal element contents in yinchuan basin and pollution condition analysis. Science and technology information, I0035-I0036</t>
  </si>
  <si>
    <t>He J, Zhong Y (2011): Different cultivated fixed number of year of yinchuan facility vegetable soil heavy metal content change research. Beijing agricultural 30, 136-137</t>
  </si>
  <si>
    <t>Zhong H, Zhou Y, Long Q, Tang R (2009): Geological accumulation index evaluation jiangyou city ring rock soil heavy metal pollution. Science and technology in western China 8, 29-30</t>
  </si>
  <si>
    <t>Gong D, Ru S, Zhang G, Wang L, Geng A, Sun S (2008): Content of Heavy Metals in Soil and Vegetables from Vegetable Land of Yongnian County. Journal of Hebei Agricultural Sciences 12, 88-90</t>
  </si>
  <si>
    <t>Bao Y (2009): Yongtai farmland determination of chromium content in the surface soil, and the evaluation of the pollution. FUJIAN CHEMICAL INDUSTRY 5, 067</t>
  </si>
  <si>
    <t>Wen Y, Chen G, Liu H, Yuan F (2007): Yuqing county mainly pollution-free production base of environmental quality assessment. Guizhou agricultural science 35, 63-65</t>
  </si>
  <si>
    <t>Shen J (2010): Yutai wu township soil heavy metal content analysis and evaluation.</t>
  </si>
  <si>
    <t>Liu H, Yang Q, Yang H, Li J, Liu D (2012): Characteristics of absorption and accumulation of heavy metals for three dominant plants in Pb-Zn mine tailings eastern Guangdong. Guihaia 32, 743-749</t>
  </si>
  <si>
    <t>Chen C, Tang Y, Yang L, Yuan L, Xu Z, KAng P, Yang S (2010a): Study on Pesticide Residue and Heavy Metal Content in GAP Cultivation of Aucklandia lappa Decne in Yunnan. Acta Agriculturae Jiangxi 22, 108-110</t>
  </si>
  <si>
    <t>Shi J, Zhang N (2010): The Distributing Character of Heavy Metals and Its Pollution Estimate in Greenhouse soils of Yunnan Province. JOURNAL OF YUNNAN AGRICULTURAL UNVERSITY 25, 862-867</t>
  </si>
  <si>
    <t>Sun Z, Liu M, Hu T (2006): Farmland soil heavy metal content analysis in yunnan province. The national conference on farmland soil pollution monitoring and evaluation technology</t>
  </si>
  <si>
    <t>Zhang D, Liu Y, Quan S (2010): Distribution ofHeavy M etalin SoilofHaniTerracein Lvchun County of Yunnan Provinceand Assessmenton ItsPotentialEcological Risk. Southwest China Journal of Agricultural Sciences 23, 23</t>
  </si>
  <si>
    <t>Sn mining</t>
    <phoneticPr fontId="2" type="noConversion"/>
  </si>
  <si>
    <t>Zhang G, Cao Q, Bi S, Zhou X (2013a): Evaluation of Heavy Metal Pollution in Soils from Wastewater Sewage Emitted by A Tin Mine in Yunnan</t>
  </si>
  <si>
    <t>Dai P, An T, Wu B, Zi S, Niu H (2012): Investigations of Heavy Metals and Pesticide Contents in Soils and Vegetables inTonghai County of Yunnan. Journal of Anhui Agricultural Sciences 40, 161-163,170</t>
  </si>
  <si>
    <t>Wei C, Chen X, Lv Y (2008): Investigation and evaluation of heavy metal content  in soil and vegetable in Zengcheng region. Guangdong Agricultural Sciences, 99-100</t>
  </si>
  <si>
    <t>Liu P 2012: Zhalantun farmland productivity evaluation, Sichuan Agricultural University</t>
  </si>
  <si>
    <t>Guan H, Wang J, Li P, Wan H, Du J, Zhu Y, Yang G (2008): Concentration of Chromium in Agricultural Soil and  Crops and Their Healthy Risk. Environmental Science and Technology, 120-124</t>
  </si>
  <si>
    <t>Hu X, Li J, Gang C, Qian W, Wang k, Yu Z (2012): Zhangjiagang city distribution of heavy metals paddy soil ecosystem. JIANGSU AGRICULTURAL SCIENCES 40, 324-327</t>
  </si>
  <si>
    <t>Li Y, Wu W, Li P, Pan L (2009c): Analysis and Evaluation of Heavy metal Pollution in the Territory of Zhangjiajie City. Environmental Monitoring in China, 107-111</t>
  </si>
  <si>
    <t>Lai D (2005): Zhangzhou farmland soil heavy metal background values and pollution condition evaluation. Association for the fifth annual seminar to improve channel west bank economic zone in fujian province agricultural comprehensive production capacity at the venue</t>
  </si>
  <si>
    <t>Zhai H 2007: Changchun city distribution of soil heavy metals and soil environmental quality assessment study, Jilin University</t>
  </si>
  <si>
    <t xml:space="preserve"> Jilin</t>
  </si>
  <si>
    <t>Wang C, Zhao S, Wu Z (2009): The Investigation and Evaluation of the Soil Arsentic Pollution  of West Lake Irrigation District in Changchun City. Environmental Science and Management 34, 180-182</t>
  </si>
  <si>
    <t>Zhejiang</t>
    <phoneticPr fontId="3" type="noConversion"/>
  </si>
  <si>
    <t>Xiao J, Yuan X, Li J (2010): Characteristics of Heavy Metal Pollution in Soil and Rice of Yangtze River Delta Region. Journal of Anhui Agricultural Sciences, 10206-10208</t>
  </si>
  <si>
    <t>Long Y, Dai P, Zou H (2008): Changsha, zhuzhou and xiangtan regions of soil heavy metal pollution and assessment. The earth and the environment 36, 231-236</t>
  </si>
  <si>
    <t>Ding Z, Chen Z, Li H, Peng X, Feng H, Zhang Y, Lei G, Zhao S (2012): Correlation analysis of the heavy metal total contents and the available contents of agricultural soil in Chang-Zhu-Tan area. Ecology and Environment Sciences, 2002-2006</t>
  </si>
  <si>
    <t>Li C, Ji X, Mao H, Zhou W, Wu C (2013): Assessment of soil heavy metal contamination in vegetable bases of Yiwu city. Acta Agriculturae Zhejiangensis 25, 561-566</t>
  </si>
  <si>
    <t>Cheng J, Shi Z, Zhu Y, Liu C, Li h (2006): Differential Characteristics and Appraisal of Heavy Metals  in Agricultural Soils of Zhejiang Province. Journal of Soil and Water Conservation 20, 103-107</t>
  </si>
  <si>
    <t>Fu Z, Yu J, Wang F (2013): Zhejiang vegetable base soil heavy metal pollution and potential ecological risk. Environmental science and technology 1</t>
  </si>
  <si>
    <t>Shen A, Wang Y, Sun S (2009): Content and pollution evaluation of heavy metal from the vegetable bases soil in Zhengzhou. Journal of Gansu Agricultural University 44, 126-131</t>
  </si>
  <si>
    <t>Gao J, Dang H, Zheng M (2013): Zhengzhou suburb farmland soil heavy metal pollution evaluation. China's agriculture notified 29, 116-120</t>
  </si>
  <si>
    <t>Wu D, Qin P, Deng Q, Wu K (2011a): Analysis and assessment of heavy metals of soil in pollution free agriculture product bases in Zhijin County. JOURNAL OF GUIZHOU NORMAL UNIVERSITY(NATURAL SCIENCES) 29, 24-27</t>
  </si>
  <si>
    <t xml:space="preserve">Chu Z, Liu W, Xiao Y, Zhu Y, Zheng W, Duan Y (2010): Survey and Assessment of Heavy Metals in Soils and Herbal Medicines from Chinese Herbal Medicine Cultivated Regions. </t>
  </si>
  <si>
    <t>Chen G 2008: Soil heavy metal element migration enrichment of chongqing metropolis circle and the ecological effect research, chengdu university of technology</t>
  </si>
  <si>
    <t>Jin Q, Zeng Q (2014): Boat water bridge for Cd and Pb content in soil, vegetables and corn investigation and risk assessment. Guizhou agricultural science 42, 199N202</t>
  </si>
  <si>
    <t>Zhougangzhen</t>
    <phoneticPr fontId="2" type="noConversion"/>
  </si>
  <si>
    <t>Cheng G, Lu H, Ye W, Zhao X (2007): Zhou xiang town farmland soil environment quality present situation and evaluation. Anhui agriculture notified 13, 47-48</t>
  </si>
  <si>
    <t>Chen L, Kang K, Yue T, Bai Y, Zhao X, Zou Z (2007): Crested ibis nature reserve of organic agricultural products producing area environmental quality assessment. Shaanxi Journal of Agricultural Sciences, 41-45</t>
  </si>
  <si>
    <t>Cui X, Li S, Ding X (2012): The pearl river delta region typical vegetable soil in the study of vegetable distribution characteristics of heavy metals. Journal of ecological environment 21, 130-135</t>
  </si>
  <si>
    <t>Zhang X, Liu Y (2010a): The pearl river delta enclose tideland farmland soil heavy metal pollution and crops. Agricultural journal of environmental science 29, 80-83</t>
  </si>
  <si>
    <t>Guangzhou</t>
    <phoneticPr fontId="3" type="noConversion"/>
  </si>
  <si>
    <t>Hu N, Wen D, Wang F, Sun F, Wang Q, Wan K (2012): Investigation and Analysis of Heavy Metals in Vegetable Producing Soils  around Main Industrial Areas in the Pearl River Delta. Chinese Journal of Tropical Agriculture 32, 67-71</t>
  </si>
  <si>
    <t>Sun H, Mao X (2008): The Heavy Metal' s Spatial Variation of Zhuji Lipu Copper Mining Area. Journal of Agro-Environment Science( J. Agro-Environ. Sci.) 27, 2178-2182</t>
  </si>
  <si>
    <t>Chen H, Tan H, Xie F, Xu H, Song Y, He J (2008): DISTRIBUTION AND RISK EVALUATION OF HEAVY METALS IN AGRICULTURAL SOILS OF SOUTHEASTERN ZUNYI CITY, CHINA. JOURNAL OF NUCLEAR AGRICULTURAL SCIENCES 22, 105-110</t>
  </si>
  <si>
    <t>Changchun</t>
    <phoneticPr fontId="3" type="noConversion"/>
  </si>
  <si>
    <t>Lin W., Zhang Y (2013)The investigation and assessment of heavy metals in the vegetable soils in the peri-urban area of Wuzhishan. Monitoring and Analysis, 101-102.</t>
    <phoneticPr fontId="2" type="noConversion"/>
  </si>
</sst>
</file>

<file path=xl/styles.xml><?xml version="1.0" encoding="utf-8"?>
<styleSheet xmlns="http://schemas.openxmlformats.org/spreadsheetml/2006/main">
  <numFmts count="2">
    <numFmt numFmtId="176" formatCode="0.00_ "/>
    <numFmt numFmtId="177" formatCode="0_);[Red]\(0\)"/>
  </numFmts>
  <fonts count="8">
    <font>
      <sz val="11"/>
      <color theme="1"/>
      <name val="宋体"/>
      <family val="2"/>
      <charset val="134"/>
      <scheme val="minor"/>
    </font>
    <font>
      <sz val="10"/>
      <name val="Times New Roman"/>
      <family val="1"/>
    </font>
    <font>
      <sz val="9"/>
      <name val="宋体"/>
      <family val="2"/>
      <charset val="134"/>
      <scheme val="minor"/>
    </font>
    <font>
      <sz val="9"/>
      <name val="宋体"/>
      <family val="3"/>
      <charset val="134"/>
    </font>
    <font>
      <sz val="12"/>
      <name val="宋体"/>
      <family val="3"/>
      <charset val="134"/>
    </font>
    <font>
      <sz val="10"/>
      <name val="宋体"/>
      <family val="3"/>
      <charset val="134"/>
    </font>
    <font>
      <sz val="10"/>
      <name val="宋体"/>
      <family val="2"/>
      <charset val="134"/>
    </font>
    <font>
      <b/>
      <sz val="10"/>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4" fillId="0" borderId="0"/>
    <xf numFmtId="0" fontId="4" fillId="0" borderId="0"/>
  </cellStyleXfs>
  <cellXfs count="15">
    <xf numFmtId="0" fontId="0" fillId="0" borderId="0" xfId="0">
      <alignment vertical="center"/>
    </xf>
    <xf numFmtId="176" fontId="1" fillId="2" borderId="1" xfId="0" applyNumberFormat="1" applyFont="1" applyFill="1" applyBorder="1" applyAlignment="1">
      <alignment vertical="center" wrapText="1"/>
    </xf>
    <xf numFmtId="176" fontId="1" fillId="2" borderId="1" xfId="0" applyNumberFormat="1" applyFont="1" applyFill="1" applyBorder="1" applyAlignment="1">
      <alignment wrapText="1"/>
    </xf>
    <xf numFmtId="176" fontId="1" fillId="2" borderId="0" xfId="0" applyNumberFormat="1" applyFont="1" applyFill="1" applyAlignment="1">
      <alignment wrapText="1"/>
    </xf>
    <xf numFmtId="176" fontId="1" fillId="2" borderId="1" xfId="1" applyNumberFormat="1" applyFont="1" applyFill="1" applyBorder="1" applyAlignment="1">
      <alignment wrapText="1"/>
    </xf>
    <xf numFmtId="176" fontId="1" fillId="2" borderId="0" xfId="0" applyNumberFormat="1" applyFont="1" applyFill="1" applyBorder="1" applyAlignment="1">
      <alignment wrapText="1"/>
    </xf>
    <xf numFmtId="176" fontId="7" fillId="2" borderId="1" xfId="0" applyNumberFormat="1" applyFont="1" applyFill="1" applyBorder="1" applyAlignment="1">
      <alignment wrapText="1"/>
    </xf>
    <xf numFmtId="176" fontId="1" fillId="2" borderId="0" xfId="0" applyNumberFormat="1" applyFont="1" applyFill="1" applyAlignment="1">
      <alignment vertical="center" wrapText="1"/>
    </xf>
    <xf numFmtId="176" fontId="1" fillId="2" borderId="1" xfId="2" applyNumberFormat="1" applyFont="1" applyFill="1" applyBorder="1" applyAlignment="1">
      <alignment wrapText="1"/>
    </xf>
    <xf numFmtId="177" fontId="1" fillId="2" borderId="1" xfId="0" applyNumberFormat="1" applyFont="1" applyFill="1" applyBorder="1" applyAlignment="1">
      <alignment vertical="center" wrapText="1"/>
    </xf>
    <xf numFmtId="177" fontId="1" fillId="2" borderId="1" xfId="0" applyNumberFormat="1" applyFont="1" applyFill="1" applyBorder="1" applyAlignment="1">
      <alignment wrapText="1"/>
    </xf>
    <xf numFmtId="177" fontId="0" fillId="0" borderId="0" xfId="0" applyNumberFormat="1">
      <alignment vertical="center"/>
    </xf>
    <xf numFmtId="176" fontId="5" fillId="2" borderId="1" xfId="0" applyNumberFormat="1" applyFont="1" applyFill="1" applyBorder="1" applyAlignment="1">
      <alignment vertical="center" wrapText="1"/>
    </xf>
    <xf numFmtId="177" fontId="1" fillId="2" borderId="1" xfId="1" applyNumberFormat="1" applyFont="1" applyFill="1" applyBorder="1" applyAlignment="1">
      <alignment wrapText="1"/>
    </xf>
    <xf numFmtId="177" fontId="1" fillId="2" borderId="1" xfId="2" applyNumberFormat="1" applyFont="1" applyFill="1" applyBorder="1" applyAlignment="1">
      <alignment wrapText="1"/>
    </xf>
  </cellXfs>
  <cellStyles count="3">
    <cellStyle name="常规" xfId="0" builtinId="0"/>
    <cellStyle name="常规 3" xfId="1"/>
    <cellStyle name="常规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613"/>
  <sheetViews>
    <sheetView tabSelected="1" topLeftCell="A601" workbookViewId="0">
      <selection activeCell="M611" sqref="M611"/>
    </sheetView>
  </sheetViews>
  <sheetFormatPr defaultRowHeight="39.950000000000003" customHeight="1"/>
  <cols>
    <col min="1" max="1" width="9" style="11"/>
    <col min="4" max="4" width="9" style="11"/>
    <col min="13" max="13" width="71.625" customWidth="1"/>
  </cols>
  <sheetData>
    <row r="1" spans="1:13" ht="39.950000000000003" customHeight="1">
      <c r="A1" s="9" t="s">
        <v>0</v>
      </c>
      <c r="B1" s="1" t="s">
        <v>1</v>
      </c>
      <c r="C1" s="1" t="s">
        <v>2</v>
      </c>
      <c r="D1" s="9" t="s">
        <v>3</v>
      </c>
      <c r="E1" s="1" t="s">
        <v>4</v>
      </c>
      <c r="F1" s="1" t="s">
        <v>5</v>
      </c>
      <c r="G1" s="1" t="s">
        <v>6</v>
      </c>
      <c r="H1" s="1" t="s">
        <v>7</v>
      </c>
      <c r="I1" s="1" t="s">
        <v>8</v>
      </c>
      <c r="J1" s="1" t="s">
        <v>9</v>
      </c>
      <c r="K1" s="1" t="s">
        <v>10</v>
      </c>
      <c r="L1" s="1" t="s">
        <v>11</v>
      </c>
      <c r="M1" s="2" t="s">
        <v>12</v>
      </c>
    </row>
    <row r="2" spans="1:13" ht="39.950000000000003" customHeight="1">
      <c r="A2" s="9">
        <v>1</v>
      </c>
      <c r="B2" s="2" t="s">
        <v>13</v>
      </c>
      <c r="C2" s="2" t="s">
        <v>14</v>
      </c>
      <c r="D2" s="10">
        <v>8</v>
      </c>
      <c r="E2" s="2">
        <v>0</v>
      </c>
      <c r="F2" s="2">
        <v>0</v>
      </c>
      <c r="G2" s="2"/>
      <c r="H2" s="2">
        <v>0</v>
      </c>
      <c r="I2" s="2">
        <v>0</v>
      </c>
      <c r="J2" s="2"/>
      <c r="K2" s="2">
        <v>0</v>
      </c>
      <c r="L2" s="2">
        <v>0</v>
      </c>
      <c r="M2" s="3" t="s">
        <v>15</v>
      </c>
    </row>
    <row r="3" spans="1:13" ht="39.950000000000003" customHeight="1">
      <c r="A3" s="9">
        <v>2</v>
      </c>
      <c r="B3" s="4" t="s">
        <v>16</v>
      </c>
      <c r="C3" s="4"/>
      <c r="D3" s="13">
        <v>26</v>
      </c>
      <c r="E3" s="4">
        <v>0</v>
      </c>
      <c r="F3" s="4">
        <v>0</v>
      </c>
      <c r="G3" s="4">
        <v>0</v>
      </c>
      <c r="H3" s="4">
        <v>0</v>
      </c>
      <c r="I3" s="4">
        <v>0</v>
      </c>
      <c r="J3" s="4">
        <v>0</v>
      </c>
      <c r="K3" s="4">
        <v>0</v>
      </c>
      <c r="L3" s="4">
        <v>0</v>
      </c>
      <c r="M3" s="1" t="s">
        <v>17</v>
      </c>
    </row>
    <row r="4" spans="1:13" ht="39.950000000000003" customHeight="1">
      <c r="A4" s="9">
        <v>3</v>
      </c>
      <c r="B4" s="2" t="s">
        <v>18</v>
      </c>
      <c r="C4" s="2" t="s">
        <v>14</v>
      </c>
      <c r="D4" s="10">
        <v>294</v>
      </c>
      <c r="E4" s="2">
        <v>0</v>
      </c>
      <c r="F4" s="2">
        <v>0</v>
      </c>
      <c r="G4" s="2"/>
      <c r="H4" s="2">
        <v>0</v>
      </c>
      <c r="I4" s="2">
        <v>0</v>
      </c>
      <c r="J4" s="2"/>
      <c r="K4" s="2">
        <v>0</v>
      </c>
      <c r="L4" s="2">
        <v>0</v>
      </c>
      <c r="M4" s="2" t="s">
        <v>19</v>
      </c>
    </row>
    <row r="5" spans="1:13" ht="39.950000000000003" customHeight="1">
      <c r="A5" s="9">
        <v>4</v>
      </c>
      <c r="B5" s="2" t="s">
        <v>20</v>
      </c>
      <c r="C5" s="2" t="s">
        <v>14</v>
      </c>
      <c r="D5" s="10">
        <v>63</v>
      </c>
      <c r="E5" s="2"/>
      <c r="F5" s="2">
        <v>0</v>
      </c>
      <c r="G5" s="2"/>
      <c r="H5" s="2">
        <v>0</v>
      </c>
      <c r="I5" s="2">
        <v>0</v>
      </c>
      <c r="J5" s="2"/>
      <c r="K5" s="2">
        <v>0</v>
      </c>
      <c r="L5" s="2">
        <v>0</v>
      </c>
      <c r="M5" s="2" t="s">
        <v>21</v>
      </c>
    </row>
    <row r="6" spans="1:13" ht="39.950000000000003" customHeight="1">
      <c r="A6" s="9">
        <v>5</v>
      </c>
      <c r="B6" s="1" t="s">
        <v>22</v>
      </c>
      <c r="C6" s="1"/>
      <c r="D6" s="9">
        <v>9</v>
      </c>
      <c r="E6" s="2">
        <v>0</v>
      </c>
      <c r="F6" s="2">
        <v>0</v>
      </c>
      <c r="G6" s="2">
        <v>0</v>
      </c>
      <c r="H6" s="2">
        <v>0</v>
      </c>
      <c r="I6" s="1"/>
      <c r="J6" s="2">
        <v>0</v>
      </c>
      <c r="K6" s="2">
        <v>0</v>
      </c>
      <c r="L6" s="1"/>
      <c r="M6" s="1" t="s">
        <v>23</v>
      </c>
    </row>
    <row r="7" spans="1:13" ht="39.950000000000003" customHeight="1">
      <c r="A7" s="9">
        <v>6</v>
      </c>
      <c r="B7" s="2" t="s">
        <v>24</v>
      </c>
      <c r="C7" s="2" t="s">
        <v>25</v>
      </c>
      <c r="D7" s="10">
        <v>137</v>
      </c>
      <c r="E7" s="2">
        <v>3</v>
      </c>
      <c r="F7" s="2"/>
      <c r="G7" s="2"/>
      <c r="H7" s="2">
        <v>3.4</v>
      </c>
      <c r="I7" s="2"/>
      <c r="J7" s="2"/>
      <c r="K7" s="2"/>
      <c r="L7" s="2"/>
      <c r="M7" s="2" t="s">
        <v>26</v>
      </c>
    </row>
    <row r="8" spans="1:13" ht="39.950000000000003" customHeight="1">
      <c r="A8" s="9">
        <v>7</v>
      </c>
      <c r="B8" s="2" t="s">
        <v>27</v>
      </c>
      <c r="C8" s="2" t="s">
        <v>28</v>
      </c>
      <c r="D8" s="10">
        <v>146</v>
      </c>
      <c r="E8" s="2"/>
      <c r="F8" s="2"/>
      <c r="G8" s="2"/>
      <c r="H8" s="2">
        <v>57.5</v>
      </c>
      <c r="I8" s="2"/>
      <c r="J8" s="2"/>
      <c r="K8" s="2"/>
      <c r="L8" s="2"/>
      <c r="M8" s="2" t="s">
        <v>29</v>
      </c>
    </row>
    <row r="9" spans="1:13" ht="39.950000000000003" customHeight="1">
      <c r="A9" s="9">
        <v>8</v>
      </c>
      <c r="B9" s="1" t="s">
        <v>30</v>
      </c>
      <c r="C9" s="1" t="s">
        <v>14</v>
      </c>
      <c r="D9" s="9">
        <v>149</v>
      </c>
      <c r="E9" s="2">
        <v>3.36</v>
      </c>
      <c r="F9" s="2">
        <v>0</v>
      </c>
      <c r="G9" s="2">
        <v>0</v>
      </c>
      <c r="H9" s="2">
        <v>9.4</v>
      </c>
      <c r="I9" s="2">
        <v>0</v>
      </c>
      <c r="J9" s="2">
        <v>4.03</v>
      </c>
      <c r="K9" s="2">
        <v>0</v>
      </c>
      <c r="L9" s="2">
        <v>0.67</v>
      </c>
      <c r="M9" s="2" t="s">
        <v>31</v>
      </c>
    </row>
    <row r="10" spans="1:13" ht="39.950000000000003" customHeight="1">
      <c r="A10" s="9">
        <v>9</v>
      </c>
      <c r="B10" s="2" t="s">
        <v>22</v>
      </c>
      <c r="C10" s="2" t="s">
        <v>32</v>
      </c>
      <c r="D10" s="10">
        <v>45</v>
      </c>
      <c r="E10" s="2">
        <v>0</v>
      </c>
      <c r="F10" s="2"/>
      <c r="G10" s="2">
        <v>0</v>
      </c>
      <c r="H10" s="2"/>
      <c r="I10" s="2">
        <v>0</v>
      </c>
      <c r="J10" s="2"/>
      <c r="K10" s="2"/>
      <c r="L10" s="2"/>
      <c r="M10" s="2" t="s">
        <v>33</v>
      </c>
    </row>
    <row r="11" spans="1:13" ht="39.950000000000003" customHeight="1">
      <c r="A11" s="9">
        <v>10</v>
      </c>
      <c r="B11" s="2" t="s">
        <v>22</v>
      </c>
      <c r="C11" s="2" t="s">
        <v>32</v>
      </c>
      <c r="D11" s="10">
        <v>30</v>
      </c>
      <c r="E11" s="2">
        <v>0</v>
      </c>
      <c r="F11" s="2"/>
      <c r="G11" s="2">
        <v>0</v>
      </c>
      <c r="H11" s="2"/>
      <c r="I11" s="2">
        <f>1/30*100</f>
        <v>3.3333333333333335</v>
      </c>
      <c r="J11" s="2"/>
      <c r="K11" s="2"/>
      <c r="L11" s="2"/>
      <c r="M11" s="2" t="s">
        <v>33</v>
      </c>
    </row>
    <row r="12" spans="1:13" ht="39.950000000000003" customHeight="1">
      <c r="A12" s="9">
        <v>11</v>
      </c>
      <c r="B12" s="2" t="s">
        <v>34</v>
      </c>
      <c r="C12" s="2" t="s">
        <v>14</v>
      </c>
      <c r="D12" s="10">
        <v>227</v>
      </c>
      <c r="E12" s="2">
        <v>15.4</v>
      </c>
      <c r="F12" s="2"/>
      <c r="G12" s="2">
        <v>8.8000000000000007</v>
      </c>
      <c r="H12" s="2">
        <v>21.1</v>
      </c>
      <c r="I12" s="2">
        <v>12.3</v>
      </c>
      <c r="J12" s="2"/>
      <c r="K12" s="2"/>
      <c r="L12" s="2"/>
      <c r="M12" s="2" t="s">
        <v>35</v>
      </c>
    </row>
    <row r="13" spans="1:13" ht="39.950000000000003" customHeight="1">
      <c r="A13" s="9">
        <v>12</v>
      </c>
      <c r="B13" s="2" t="s">
        <v>27</v>
      </c>
      <c r="C13" s="2" t="s">
        <v>36</v>
      </c>
      <c r="D13" s="10">
        <v>6</v>
      </c>
      <c r="E13" s="2">
        <v>100</v>
      </c>
      <c r="F13" s="2"/>
      <c r="G13" s="2">
        <v>100</v>
      </c>
      <c r="H13" s="2">
        <v>100</v>
      </c>
      <c r="I13" s="2"/>
      <c r="J13" s="2"/>
      <c r="K13" s="2"/>
      <c r="L13" s="2"/>
      <c r="M13" s="2" t="s">
        <v>37</v>
      </c>
    </row>
    <row r="14" spans="1:13" ht="39.950000000000003" customHeight="1">
      <c r="A14" s="9">
        <v>12</v>
      </c>
      <c r="B14" s="2" t="s">
        <v>27</v>
      </c>
      <c r="C14" s="2" t="s">
        <v>36</v>
      </c>
      <c r="D14" s="10">
        <v>4</v>
      </c>
      <c r="E14" s="2">
        <v>100</v>
      </c>
      <c r="F14" s="2"/>
      <c r="G14" s="2">
        <v>100</v>
      </c>
      <c r="H14" s="2">
        <v>100</v>
      </c>
      <c r="I14" s="2"/>
      <c r="J14" s="2"/>
      <c r="K14" s="2"/>
      <c r="L14" s="2"/>
      <c r="M14" s="2" t="s">
        <v>38</v>
      </c>
    </row>
    <row r="15" spans="1:13" ht="39.950000000000003" customHeight="1">
      <c r="A15" s="9">
        <v>12</v>
      </c>
      <c r="B15" s="2" t="s">
        <v>27</v>
      </c>
      <c r="C15" s="2" t="s">
        <v>36</v>
      </c>
      <c r="D15" s="10">
        <v>4</v>
      </c>
      <c r="E15" s="2">
        <v>100</v>
      </c>
      <c r="F15" s="2"/>
      <c r="G15" s="2">
        <v>100</v>
      </c>
      <c r="H15" s="2">
        <v>100</v>
      </c>
      <c r="I15" s="2"/>
      <c r="J15" s="2"/>
      <c r="K15" s="2"/>
      <c r="L15" s="2"/>
      <c r="M15" s="2" t="s">
        <v>39</v>
      </c>
    </row>
    <row r="16" spans="1:13" ht="39.950000000000003" customHeight="1">
      <c r="A16" s="9">
        <v>12</v>
      </c>
      <c r="B16" s="2" t="s">
        <v>27</v>
      </c>
      <c r="C16" s="2" t="s">
        <v>36</v>
      </c>
      <c r="D16" s="10">
        <v>6</v>
      </c>
      <c r="E16" s="2">
        <v>100</v>
      </c>
      <c r="F16" s="2"/>
      <c r="G16" s="2">
        <v>100</v>
      </c>
      <c r="H16" s="2">
        <v>100</v>
      </c>
      <c r="I16" s="2"/>
      <c r="J16" s="2"/>
      <c r="K16" s="2"/>
      <c r="L16" s="2"/>
      <c r="M16" s="2" t="s">
        <v>40</v>
      </c>
    </row>
    <row r="17" spans="1:13" ht="39.950000000000003" customHeight="1">
      <c r="A17" s="9">
        <v>13</v>
      </c>
      <c r="B17" s="1" t="s">
        <v>22</v>
      </c>
      <c r="C17" s="1" t="s">
        <v>41</v>
      </c>
      <c r="D17" s="9">
        <v>44</v>
      </c>
      <c r="E17" s="2"/>
      <c r="F17" s="2">
        <v>0</v>
      </c>
      <c r="G17" s="2"/>
      <c r="H17" s="2">
        <v>84</v>
      </c>
      <c r="I17" s="2"/>
      <c r="J17" s="2"/>
      <c r="K17" s="2"/>
      <c r="L17" s="2"/>
      <c r="M17" s="2" t="s">
        <v>42</v>
      </c>
    </row>
    <row r="18" spans="1:13" ht="39.950000000000003" customHeight="1">
      <c r="A18" s="9">
        <v>14</v>
      </c>
      <c r="B18" s="1" t="s">
        <v>27</v>
      </c>
      <c r="C18" s="1" t="s">
        <v>43</v>
      </c>
      <c r="D18" s="9">
        <v>99</v>
      </c>
      <c r="E18" s="2">
        <f>100-79.8-19.2</f>
        <v>1.0000000000000036</v>
      </c>
      <c r="F18" s="2">
        <v>0</v>
      </c>
      <c r="G18" s="2">
        <v>19.2</v>
      </c>
      <c r="H18" s="2">
        <v>95</v>
      </c>
      <c r="I18" s="2">
        <v>8.1</v>
      </c>
      <c r="J18" s="2">
        <v>1</v>
      </c>
      <c r="K18" s="2">
        <v>0</v>
      </c>
      <c r="L18" s="2">
        <v>26.3</v>
      </c>
      <c r="M18" s="2" t="s">
        <v>44</v>
      </c>
    </row>
    <row r="19" spans="1:13" ht="39.950000000000003" customHeight="1">
      <c r="A19" s="9">
        <v>15</v>
      </c>
      <c r="B19" s="2" t="s">
        <v>13</v>
      </c>
      <c r="C19" s="2" t="s">
        <v>14</v>
      </c>
      <c r="D19" s="10">
        <v>450</v>
      </c>
      <c r="E19" s="2">
        <v>1.5555555555555556</v>
      </c>
      <c r="F19" s="2">
        <v>0</v>
      </c>
      <c r="G19" s="2">
        <v>4.4444444444444446</v>
      </c>
      <c r="H19" s="2">
        <v>8</v>
      </c>
      <c r="I19" s="2"/>
      <c r="J19" s="2"/>
      <c r="K19" s="2">
        <v>0</v>
      </c>
      <c r="L19" s="2"/>
      <c r="M19" s="2" t="s">
        <v>45</v>
      </c>
    </row>
    <row r="20" spans="1:13" ht="39.950000000000003" customHeight="1">
      <c r="A20" s="9">
        <v>16</v>
      </c>
      <c r="B20" s="2" t="s">
        <v>46</v>
      </c>
      <c r="C20" s="2" t="s">
        <v>14</v>
      </c>
      <c r="D20" s="10">
        <v>20</v>
      </c>
      <c r="E20" s="2">
        <f>17/20*100</f>
        <v>85</v>
      </c>
      <c r="F20" s="2">
        <f>14/20*100</f>
        <v>70</v>
      </c>
      <c r="G20" s="2">
        <f>19/20*100</f>
        <v>95</v>
      </c>
      <c r="H20" s="2">
        <v>100</v>
      </c>
      <c r="I20" s="2"/>
      <c r="J20" s="2"/>
      <c r="K20" s="2"/>
      <c r="L20" s="2"/>
      <c r="M20" s="2" t="s">
        <v>47</v>
      </c>
    </row>
    <row r="21" spans="1:13" ht="39.950000000000003" customHeight="1">
      <c r="A21" s="9">
        <v>17</v>
      </c>
      <c r="B21" s="1" t="s">
        <v>48</v>
      </c>
      <c r="C21" s="1" t="s">
        <v>49</v>
      </c>
      <c r="D21" s="9">
        <v>20</v>
      </c>
      <c r="E21" s="2">
        <v>28</v>
      </c>
      <c r="F21" s="2"/>
      <c r="G21" s="2">
        <v>30</v>
      </c>
      <c r="H21" s="2">
        <v>22</v>
      </c>
      <c r="I21" s="2">
        <v>0</v>
      </c>
      <c r="J21" s="2"/>
      <c r="K21" s="2"/>
      <c r="L21" s="2">
        <v>52</v>
      </c>
      <c r="M21" s="2" t="s">
        <v>50</v>
      </c>
    </row>
    <row r="22" spans="1:13" ht="39.950000000000003" customHeight="1">
      <c r="A22" s="9">
        <v>18</v>
      </c>
      <c r="B22" s="2" t="s">
        <v>51</v>
      </c>
      <c r="C22" s="2" t="s">
        <v>52</v>
      </c>
      <c r="D22" s="10">
        <v>216</v>
      </c>
      <c r="E22" s="2">
        <v>0</v>
      </c>
      <c r="F22" s="2">
        <v>0</v>
      </c>
      <c r="G22" s="2">
        <v>0</v>
      </c>
      <c r="H22" s="2">
        <v>0</v>
      </c>
      <c r="I22" s="2">
        <v>0</v>
      </c>
      <c r="J22" s="2">
        <v>0</v>
      </c>
      <c r="K22" s="2">
        <v>0</v>
      </c>
      <c r="L22" s="2">
        <v>0</v>
      </c>
      <c r="M22" s="2" t="s">
        <v>53</v>
      </c>
    </row>
    <row r="23" spans="1:13" ht="39.950000000000003" customHeight="1">
      <c r="A23" s="9">
        <v>19</v>
      </c>
      <c r="B23" s="2" t="s">
        <v>13</v>
      </c>
      <c r="C23" s="2" t="s">
        <v>14</v>
      </c>
      <c r="D23" s="10">
        <v>96</v>
      </c>
      <c r="E23" s="2">
        <v>14.58</v>
      </c>
      <c r="F23" s="2">
        <v>0</v>
      </c>
      <c r="G23" s="2">
        <v>5.21</v>
      </c>
      <c r="H23" s="2">
        <v>27.08</v>
      </c>
      <c r="I23" s="2"/>
      <c r="J23" s="2">
        <v>6.25</v>
      </c>
      <c r="K23" s="2"/>
      <c r="L23" s="2"/>
      <c r="M23" s="2" t="s">
        <v>54</v>
      </c>
    </row>
    <row r="24" spans="1:13" ht="39.950000000000003" customHeight="1">
      <c r="A24" s="9">
        <v>20</v>
      </c>
      <c r="B24" s="2" t="s">
        <v>30</v>
      </c>
      <c r="C24" s="2" t="s">
        <v>14</v>
      </c>
      <c r="D24" s="10">
        <v>86</v>
      </c>
      <c r="E24" s="2">
        <v>0</v>
      </c>
      <c r="F24" s="2">
        <v>0</v>
      </c>
      <c r="G24" s="2">
        <v>0</v>
      </c>
      <c r="H24" s="2">
        <v>0</v>
      </c>
      <c r="I24" s="2">
        <v>0</v>
      </c>
      <c r="J24" s="2">
        <v>0</v>
      </c>
      <c r="K24" s="2">
        <v>0</v>
      </c>
      <c r="L24" s="2">
        <v>0</v>
      </c>
      <c r="M24" s="2" t="s">
        <v>55</v>
      </c>
    </row>
    <row r="25" spans="1:13" ht="39.950000000000003" customHeight="1">
      <c r="A25" s="9">
        <v>21</v>
      </c>
      <c r="B25" s="2" t="s">
        <v>13</v>
      </c>
      <c r="C25" s="2" t="s">
        <v>14</v>
      </c>
      <c r="D25" s="10">
        <v>286</v>
      </c>
      <c r="E25" s="2">
        <v>11.89</v>
      </c>
      <c r="F25" s="2">
        <v>0.35</v>
      </c>
      <c r="G25" s="2">
        <v>11.58</v>
      </c>
      <c r="H25" s="2">
        <v>24.01</v>
      </c>
      <c r="I25" s="2"/>
      <c r="J25" s="2">
        <v>2.71</v>
      </c>
      <c r="K25" s="2"/>
      <c r="L25" s="2"/>
      <c r="M25" s="2" t="s">
        <v>56</v>
      </c>
    </row>
    <row r="26" spans="1:13" ht="39.950000000000003" customHeight="1">
      <c r="A26" s="9">
        <v>22</v>
      </c>
      <c r="B26" s="12" t="s">
        <v>611</v>
      </c>
      <c r="C26" s="1"/>
      <c r="D26" s="9">
        <v>114</v>
      </c>
      <c r="E26" s="2">
        <v>0</v>
      </c>
      <c r="F26" s="2">
        <v>0</v>
      </c>
      <c r="G26" s="2">
        <v>0</v>
      </c>
      <c r="H26" s="2"/>
      <c r="I26" s="2"/>
      <c r="J26" s="2">
        <v>0</v>
      </c>
      <c r="K26" s="2">
        <v>0</v>
      </c>
      <c r="L26" s="2"/>
      <c r="M26" s="1" t="s">
        <v>57</v>
      </c>
    </row>
    <row r="27" spans="1:13" ht="39.950000000000003" customHeight="1">
      <c r="A27" s="9">
        <v>23</v>
      </c>
      <c r="B27" s="1" t="s">
        <v>58</v>
      </c>
      <c r="C27" s="1"/>
      <c r="D27" s="9">
        <v>469</v>
      </c>
      <c r="E27" s="2"/>
      <c r="F27" s="2"/>
      <c r="G27" s="2"/>
      <c r="H27" s="2"/>
      <c r="I27" s="2"/>
      <c r="J27" s="2"/>
      <c r="K27" s="2"/>
      <c r="L27" s="2"/>
      <c r="M27" s="1" t="s">
        <v>59</v>
      </c>
    </row>
    <row r="28" spans="1:13" ht="39.950000000000003" customHeight="1">
      <c r="A28" s="9">
        <v>24</v>
      </c>
      <c r="B28" s="1" t="s">
        <v>13</v>
      </c>
      <c r="C28" s="2" t="s">
        <v>14</v>
      </c>
      <c r="D28" s="9">
        <v>665</v>
      </c>
      <c r="E28" s="2">
        <v>0</v>
      </c>
      <c r="F28" s="2">
        <v>0</v>
      </c>
      <c r="G28" s="2"/>
      <c r="H28" s="2">
        <f>36/665*100</f>
        <v>5.4135338345864659</v>
      </c>
      <c r="I28" s="2">
        <v>0</v>
      </c>
      <c r="J28" s="2"/>
      <c r="K28" s="2">
        <v>0</v>
      </c>
      <c r="L28" s="2">
        <f>44/665*100</f>
        <v>6.6165413533834583</v>
      </c>
      <c r="M28" s="2" t="s">
        <v>60</v>
      </c>
    </row>
    <row r="29" spans="1:13" ht="39.950000000000003" customHeight="1">
      <c r="A29" s="9">
        <v>25</v>
      </c>
      <c r="B29" s="2" t="s">
        <v>61</v>
      </c>
      <c r="C29" s="2" t="s">
        <v>62</v>
      </c>
      <c r="D29" s="10">
        <v>18</v>
      </c>
      <c r="E29" s="2">
        <v>0</v>
      </c>
      <c r="F29" s="2">
        <v>0</v>
      </c>
      <c r="G29" s="2">
        <v>0</v>
      </c>
      <c r="H29" s="2">
        <f>14/18*100</f>
        <v>77.777777777777786</v>
      </c>
      <c r="I29" s="2"/>
      <c r="J29" s="2"/>
      <c r="K29" s="2"/>
      <c r="L29" s="2"/>
      <c r="M29" s="2" t="s">
        <v>63</v>
      </c>
    </row>
    <row r="30" spans="1:13" ht="39.950000000000003" customHeight="1">
      <c r="A30" s="9">
        <v>26</v>
      </c>
      <c r="B30" s="1" t="s">
        <v>22</v>
      </c>
      <c r="C30" s="1" t="s">
        <v>52</v>
      </c>
      <c r="D30" s="9">
        <v>6</v>
      </c>
      <c r="E30" s="1">
        <f>2/6*100</f>
        <v>33.333333333333329</v>
      </c>
      <c r="F30" s="1">
        <v>0</v>
      </c>
      <c r="G30" s="1"/>
      <c r="H30" s="1">
        <f>2/6*100</f>
        <v>33.333333333333329</v>
      </c>
      <c r="I30" s="1">
        <v>0</v>
      </c>
      <c r="J30" s="1">
        <f>2/6*100</f>
        <v>33.333333333333329</v>
      </c>
      <c r="K30" s="1"/>
      <c r="L30" s="1">
        <v>0</v>
      </c>
      <c r="M30" s="1" t="s">
        <v>64</v>
      </c>
    </row>
    <row r="31" spans="1:13" ht="39.950000000000003" customHeight="1">
      <c r="A31" s="9">
        <v>27</v>
      </c>
      <c r="B31" s="2" t="s">
        <v>22</v>
      </c>
      <c r="C31" s="2" t="s">
        <v>52</v>
      </c>
      <c r="D31" s="10">
        <v>51</v>
      </c>
      <c r="E31" s="2">
        <v>0</v>
      </c>
      <c r="F31" s="2">
        <v>0</v>
      </c>
      <c r="G31" s="2"/>
      <c r="H31" s="2">
        <v>3.92</v>
      </c>
      <c r="I31" s="2"/>
      <c r="J31" s="2"/>
      <c r="K31" s="2"/>
      <c r="L31" s="2"/>
      <c r="M31" s="2" t="s">
        <v>65</v>
      </c>
    </row>
    <row r="32" spans="1:13" ht="39.950000000000003" customHeight="1">
      <c r="A32" s="9">
        <v>28</v>
      </c>
      <c r="B32" s="2" t="s">
        <v>22</v>
      </c>
      <c r="C32" s="2" t="s">
        <v>14</v>
      </c>
      <c r="D32" s="10">
        <v>45</v>
      </c>
      <c r="E32" s="2">
        <v>0</v>
      </c>
      <c r="F32" s="2">
        <v>0</v>
      </c>
      <c r="G32" s="2">
        <v>0</v>
      </c>
      <c r="H32" s="2">
        <v>0</v>
      </c>
      <c r="I32" s="2">
        <v>0</v>
      </c>
      <c r="J32" s="2">
        <v>0</v>
      </c>
      <c r="K32" s="2">
        <v>0</v>
      </c>
      <c r="L32" s="2">
        <v>0</v>
      </c>
      <c r="M32" s="2" t="s">
        <v>66</v>
      </c>
    </row>
    <row r="33" spans="1:13" ht="39.950000000000003" customHeight="1">
      <c r="A33" s="9">
        <v>29</v>
      </c>
      <c r="B33" s="2" t="s">
        <v>22</v>
      </c>
      <c r="C33" s="2" t="s">
        <v>14</v>
      </c>
      <c r="D33" s="10">
        <v>30</v>
      </c>
      <c r="E33" s="2">
        <v>0</v>
      </c>
      <c r="F33" s="2">
        <v>0</v>
      </c>
      <c r="G33" s="2">
        <v>0</v>
      </c>
      <c r="H33" s="2"/>
      <c r="I33" s="2"/>
      <c r="J33" s="2">
        <v>0</v>
      </c>
      <c r="K33" s="2">
        <v>0</v>
      </c>
      <c r="L33" s="2"/>
      <c r="M33" s="2" t="s">
        <v>67</v>
      </c>
    </row>
    <row r="34" spans="1:13" ht="39.950000000000003" customHeight="1">
      <c r="A34" s="9">
        <v>29</v>
      </c>
      <c r="B34" s="2" t="s">
        <v>22</v>
      </c>
      <c r="C34" s="2" t="s">
        <v>14</v>
      </c>
      <c r="D34" s="10">
        <v>24</v>
      </c>
      <c r="E34" s="2">
        <f>1/24*100</f>
        <v>4.1666666666666661</v>
      </c>
      <c r="F34" s="2">
        <v>0</v>
      </c>
      <c r="G34" s="2">
        <f>2/24*100</f>
        <v>8.3333333333333321</v>
      </c>
      <c r="H34" s="2"/>
      <c r="I34" s="2"/>
      <c r="J34" s="2">
        <v>0</v>
      </c>
      <c r="K34" s="2">
        <v>0</v>
      </c>
      <c r="L34" s="2"/>
      <c r="M34" s="2" t="s">
        <v>67</v>
      </c>
    </row>
    <row r="35" spans="1:13" ht="39.950000000000003" customHeight="1">
      <c r="A35" s="9">
        <v>29</v>
      </c>
      <c r="B35" s="2" t="s">
        <v>22</v>
      </c>
      <c r="C35" s="2" t="s">
        <v>14</v>
      </c>
      <c r="D35" s="10">
        <v>25</v>
      </c>
      <c r="E35" s="2">
        <f>1/25*100</f>
        <v>4</v>
      </c>
      <c r="F35" s="2">
        <v>0</v>
      </c>
      <c r="G35" s="2">
        <f>10/25*100</f>
        <v>40</v>
      </c>
      <c r="H35" s="2"/>
      <c r="I35" s="2"/>
      <c r="J35" s="2">
        <v>0</v>
      </c>
      <c r="K35" s="2">
        <v>0</v>
      </c>
      <c r="L35" s="2"/>
      <c r="M35" s="2" t="s">
        <v>67</v>
      </c>
    </row>
    <row r="36" spans="1:13" ht="39.950000000000003" customHeight="1">
      <c r="A36" s="9">
        <v>29</v>
      </c>
      <c r="B36" s="2" t="s">
        <v>22</v>
      </c>
      <c r="C36" s="2" t="s">
        <v>14</v>
      </c>
      <c r="D36" s="10">
        <v>15</v>
      </c>
      <c r="E36" s="2">
        <f>2/15*100</f>
        <v>13.333333333333334</v>
      </c>
      <c r="F36" s="2">
        <v>0</v>
      </c>
      <c r="G36" s="2">
        <v>0</v>
      </c>
      <c r="H36" s="2">
        <v>100</v>
      </c>
      <c r="I36" s="2"/>
      <c r="J36" s="2">
        <v>100</v>
      </c>
      <c r="K36" s="2">
        <v>0</v>
      </c>
      <c r="L36" s="2"/>
      <c r="M36" s="2" t="s">
        <v>67</v>
      </c>
    </row>
    <row r="37" spans="1:13" ht="39.950000000000003" customHeight="1">
      <c r="A37" s="9">
        <v>30</v>
      </c>
      <c r="B37" s="2" t="s">
        <v>22</v>
      </c>
      <c r="C37" s="2" t="s">
        <v>14</v>
      </c>
      <c r="D37" s="10">
        <v>28</v>
      </c>
      <c r="E37" s="2">
        <v>6.8</v>
      </c>
      <c r="F37" s="2">
        <v>0</v>
      </c>
      <c r="G37" s="2">
        <v>0</v>
      </c>
      <c r="H37" s="2">
        <v>20</v>
      </c>
      <c r="I37" s="2">
        <v>0</v>
      </c>
      <c r="J37" s="2">
        <v>6.8</v>
      </c>
      <c r="K37" s="2">
        <v>0</v>
      </c>
      <c r="L37" s="2">
        <v>0</v>
      </c>
      <c r="M37" s="2"/>
    </row>
    <row r="38" spans="1:13" ht="39.950000000000003" customHeight="1">
      <c r="A38" s="9">
        <v>31</v>
      </c>
      <c r="B38" s="1" t="s">
        <v>22</v>
      </c>
      <c r="C38" s="1" t="s">
        <v>52</v>
      </c>
      <c r="D38" s="9">
        <v>174</v>
      </c>
      <c r="E38" s="1"/>
      <c r="F38" s="1"/>
      <c r="G38" s="1"/>
      <c r="H38" s="1"/>
      <c r="I38" s="1"/>
      <c r="J38" s="1"/>
      <c r="K38" s="1"/>
      <c r="L38" s="1">
        <v>13.9</v>
      </c>
      <c r="M38" s="1" t="s">
        <v>68</v>
      </c>
    </row>
    <row r="39" spans="1:13" ht="39.950000000000003" customHeight="1">
      <c r="A39" s="9">
        <v>32</v>
      </c>
      <c r="B39" s="2" t="s">
        <v>61</v>
      </c>
      <c r="C39" s="2"/>
      <c r="D39" s="10">
        <v>20</v>
      </c>
      <c r="E39" s="2">
        <v>0</v>
      </c>
      <c r="F39" s="2">
        <v>0</v>
      </c>
      <c r="G39" s="2">
        <v>0</v>
      </c>
      <c r="H39" s="2">
        <v>0</v>
      </c>
      <c r="I39" s="2"/>
      <c r="J39" s="2"/>
      <c r="K39" s="2"/>
      <c r="L39" s="2">
        <v>0</v>
      </c>
      <c r="M39" s="2" t="s">
        <v>69</v>
      </c>
    </row>
    <row r="40" spans="1:13" ht="39.950000000000003" customHeight="1">
      <c r="A40" s="9">
        <v>33</v>
      </c>
      <c r="B40" s="2" t="s">
        <v>46</v>
      </c>
      <c r="C40" s="2" t="s">
        <v>70</v>
      </c>
      <c r="D40" s="10">
        <v>15</v>
      </c>
      <c r="E40" s="2">
        <v>0</v>
      </c>
      <c r="F40" s="2">
        <v>0</v>
      </c>
      <c r="G40" s="2"/>
      <c r="H40" s="2">
        <v>40</v>
      </c>
      <c r="I40" s="2">
        <v>0</v>
      </c>
      <c r="J40" s="2"/>
      <c r="K40" s="2">
        <v>0</v>
      </c>
      <c r="L40" s="2">
        <v>3.3</v>
      </c>
      <c r="M40" s="2" t="s">
        <v>71</v>
      </c>
    </row>
    <row r="41" spans="1:13" ht="39.950000000000003" customHeight="1">
      <c r="A41" s="9">
        <v>34</v>
      </c>
      <c r="B41" s="4" t="s">
        <v>16</v>
      </c>
      <c r="C41" s="4"/>
      <c r="D41" s="13">
        <v>344</v>
      </c>
      <c r="E41" s="4"/>
      <c r="F41" s="4">
        <v>0</v>
      </c>
      <c r="G41" s="4">
        <v>11</v>
      </c>
      <c r="H41" s="4"/>
      <c r="I41" s="4"/>
      <c r="J41" s="4"/>
      <c r="K41" s="4"/>
      <c r="L41" s="4"/>
      <c r="M41" s="1" t="s">
        <v>72</v>
      </c>
    </row>
    <row r="42" spans="1:13" ht="39.950000000000003" customHeight="1">
      <c r="A42" s="9">
        <v>35</v>
      </c>
      <c r="B42" s="1" t="s">
        <v>73</v>
      </c>
      <c r="C42" s="1" t="s">
        <v>70</v>
      </c>
      <c r="D42" s="9">
        <v>23</v>
      </c>
      <c r="E42" s="1">
        <v>0</v>
      </c>
      <c r="F42" s="1">
        <v>0</v>
      </c>
      <c r="G42" s="1">
        <v>0</v>
      </c>
      <c r="H42" s="1">
        <v>0</v>
      </c>
      <c r="I42" s="1"/>
      <c r="J42" s="1"/>
      <c r="K42" s="1">
        <v>0</v>
      </c>
      <c r="L42" s="1">
        <v>0</v>
      </c>
      <c r="M42" s="1" t="s">
        <v>74</v>
      </c>
    </row>
    <row r="43" spans="1:13" ht="39.950000000000003" customHeight="1">
      <c r="A43" s="9">
        <v>36</v>
      </c>
      <c r="B43" s="2" t="s">
        <v>61</v>
      </c>
      <c r="C43" s="2" t="s">
        <v>28</v>
      </c>
      <c r="D43" s="10">
        <v>8</v>
      </c>
      <c r="E43" s="2"/>
      <c r="F43" s="2">
        <v>0</v>
      </c>
      <c r="G43" s="2"/>
      <c r="H43" s="2">
        <f>3/8*100</f>
        <v>37.5</v>
      </c>
      <c r="I43" s="2">
        <f>1/8*100</f>
        <v>12.5</v>
      </c>
      <c r="J43" s="2"/>
      <c r="K43" s="2">
        <v>0</v>
      </c>
      <c r="L43" s="2">
        <f>3/8*100</f>
        <v>37.5</v>
      </c>
      <c r="M43" s="2" t="s">
        <v>75</v>
      </c>
    </row>
    <row r="44" spans="1:13" ht="39.950000000000003" customHeight="1">
      <c r="A44" s="9">
        <v>37</v>
      </c>
      <c r="B44" s="2" t="s">
        <v>22</v>
      </c>
      <c r="C44" s="2"/>
      <c r="D44" s="10">
        <v>42</v>
      </c>
      <c r="E44" s="2">
        <v>0</v>
      </c>
      <c r="F44" s="2">
        <v>0</v>
      </c>
      <c r="G44" s="2"/>
      <c r="H44" s="2">
        <v>0</v>
      </c>
      <c r="I44" s="2">
        <v>0</v>
      </c>
      <c r="J44" s="2"/>
      <c r="K44" s="2">
        <v>0</v>
      </c>
      <c r="L44" s="2">
        <v>0</v>
      </c>
      <c r="M44" s="2" t="s">
        <v>76</v>
      </c>
    </row>
    <row r="45" spans="1:13" ht="39.950000000000003" customHeight="1">
      <c r="A45" s="9">
        <v>38</v>
      </c>
      <c r="B45" s="2" t="s">
        <v>22</v>
      </c>
      <c r="C45" s="2"/>
      <c r="D45" s="10">
        <v>30</v>
      </c>
      <c r="E45" s="2"/>
      <c r="F45" s="2"/>
      <c r="G45" s="2">
        <v>0</v>
      </c>
      <c r="H45" s="2"/>
      <c r="I45" s="2"/>
      <c r="J45" s="2">
        <v>6.67</v>
      </c>
      <c r="K45" s="2"/>
      <c r="L45" s="2"/>
      <c r="M45" s="2" t="s">
        <v>76</v>
      </c>
    </row>
    <row r="46" spans="1:13" ht="39.950000000000003" customHeight="1">
      <c r="A46" s="9">
        <v>39</v>
      </c>
      <c r="B46" s="2" t="s">
        <v>20</v>
      </c>
      <c r="C46" s="2" t="s">
        <v>77</v>
      </c>
      <c r="D46" s="10">
        <v>34</v>
      </c>
      <c r="E46" s="2">
        <v>0</v>
      </c>
      <c r="F46" s="2">
        <v>0</v>
      </c>
      <c r="G46" s="2">
        <v>0</v>
      </c>
      <c r="H46" s="2"/>
      <c r="I46" s="2"/>
      <c r="J46" s="2">
        <v>0</v>
      </c>
      <c r="K46" s="2">
        <v>0</v>
      </c>
      <c r="L46" s="2"/>
      <c r="M46" s="2" t="s">
        <v>78</v>
      </c>
    </row>
    <row r="47" spans="1:13" ht="39.950000000000003" customHeight="1">
      <c r="A47" s="9">
        <v>40</v>
      </c>
      <c r="B47" s="2" t="s">
        <v>20</v>
      </c>
      <c r="C47" s="2" t="s">
        <v>36</v>
      </c>
      <c r="D47" s="10">
        <v>11</v>
      </c>
      <c r="E47" s="2">
        <v>0</v>
      </c>
      <c r="F47" s="2">
        <v>0</v>
      </c>
      <c r="G47" s="2">
        <v>0</v>
      </c>
      <c r="H47" s="2">
        <v>100</v>
      </c>
      <c r="I47" s="2"/>
      <c r="J47" s="2">
        <v>100</v>
      </c>
      <c r="K47" s="2">
        <v>0</v>
      </c>
      <c r="L47" s="2"/>
      <c r="M47" s="2" t="s">
        <v>79</v>
      </c>
    </row>
    <row r="48" spans="1:13" ht="39.950000000000003" customHeight="1">
      <c r="A48" s="9">
        <v>41</v>
      </c>
      <c r="B48" s="2" t="s">
        <v>18</v>
      </c>
      <c r="C48" s="2" t="s">
        <v>14</v>
      </c>
      <c r="D48" s="10">
        <v>7</v>
      </c>
      <c r="E48" s="2">
        <v>0</v>
      </c>
      <c r="F48" s="2">
        <v>0</v>
      </c>
      <c r="G48" s="2">
        <v>100</v>
      </c>
      <c r="H48" s="2">
        <v>42.857142857142854</v>
      </c>
      <c r="I48" s="2">
        <v>0</v>
      </c>
      <c r="J48" s="2">
        <v>0</v>
      </c>
      <c r="K48" s="2">
        <v>0</v>
      </c>
      <c r="L48" s="2">
        <v>0</v>
      </c>
      <c r="M48" s="2" t="s">
        <v>80</v>
      </c>
    </row>
    <row r="49" spans="1:13" ht="39.950000000000003" customHeight="1">
      <c r="A49" s="9">
        <v>42</v>
      </c>
      <c r="B49" s="2" t="s">
        <v>73</v>
      </c>
      <c r="C49" s="2" t="s">
        <v>25</v>
      </c>
      <c r="D49" s="10">
        <v>26</v>
      </c>
      <c r="E49" s="2">
        <v>3.8461538461538463</v>
      </c>
      <c r="F49" s="2">
        <v>0</v>
      </c>
      <c r="G49" s="2">
        <v>19.230769230769234</v>
      </c>
      <c r="H49" s="1">
        <f>2/26*100</f>
        <v>7.6923076923076925</v>
      </c>
      <c r="I49" s="2"/>
      <c r="J49" s="2">
        <v>0</v>
      </c>
      <c r="K49" s="2">
        <v>0</v>
      </c>
      <c r="L49" s="2"/>
      <c r="M49" s="2" t="s">
        <v>81</v>
      </c>
    </row>
    <row r="50" spans="1:13" ht="39.950000000000003" customHeight="1">
      <c r="A50" s="9">
        <v>43</v>
      </c>
      <c r="B50" s="2" t="s">
        <v>82</v>
      </c>
      <c r="C50" s="2" t="s">
        <v>14</v>
      </c>
      <c r="D50" s="10">
        <v>131</v>
      </c>
      <c r="E50" s="2">
        <v>0</v>
      </c>
      <c r="F50" s="2">
        <v>0</v>
      </c>
      <c r="G50" s="2">
        <v>0</v>
      </c>
      <c r="H50" s="2">
        <v>0.74045801526717558</v>
      </c>
      <c r="I50" s="2">
        <v>0</v>
      </c>
      <c r="J50" s="2">
        <v>0</v>
      </c>
      <c r="K50" s="2">
        <v>0</v>
      </c>
      <c r="L50" s="2"/>
      <c r="M50" s="2" t="s">
        <v>83</v>
      </c>
    </row>
    <row r="51" spans="1:13" ht="39.950000000000003" customHeight="1">
      <c r="A51" s="9">
        <v>43</v>
      </c>
      <c r="B51" s="2" t="s">
        <v>84</v>
      </c>
      <c r="C51" s="2" t="s">
        <v>14</v>
      </c>
      <c r="D51" s="10">
        <v>82</v>
      </c>
      <c r="E51" s="2">
        <v>0</v>
      </c>
      <c r="F51" s="2">
        <v>0</v>
      </c>
      <c r="G51" s="2">
        <v>0</v>
      </c>
      <c r="H51" s="2">
        <v>6.1</v>
      </c>
      <c r="I51" s="2">
        <v>0</v>
      </c>
      <c r="J51" s="2">
        <v>0</v>
      </c>
      <c r="K51" s="2">
        <v>0</v>
      </c>
      <c r="L51" s="2"/>
      <c r="M51" s="2" t="s">
        <v>83</v>
      </c>
    </row>
    <row r="52" spans="1:13" ht="39.950000000000003" customHeight="1">
      <c r="A52" s="9">
        <v>43</v>
      </c>
      <c r="B52" s="2" t="s">
        <v>30</v>
      </c>
      <c r="C52" s="2" t="s">
        <v>14</v>
      </c>
      <c r="D52" s="10">
        <v>62</v>
      </c>
      <c r="E52" s="2">
        <v>0</v>
      </c>
      <c r="F52" s="2">
        <v>0</v>
      </c>
      <c r="G52" s="2">
        <v>1.6</v>
      </c>
      <c r="H52" s="2">
        <v>27.4</v>
      </c>
      <c r="I52" s="2">
        <v>0</v>
      </c>
      <c r="J52" s="2">
        <v>1.6</v>
      </c>
      <c r="K52" s="2">
        <v>0</v>
      </c>
      <c r="L52" s="2"/>
      <c r="M52" s="2" t="s">
        <v>83</v>
      </c>
    </row>
    <row r="53" spans="1:13" ht="39.950000000000003" customHeight="1">
      <c r="A53" s="9">
        <v>43</v>
      </c>
      <c r="B53" s="2" t="s">
        <v>51</v>
      </c>
      <c r="C53" s="2" t="s">
        <v>14</v>
      </c>
      <c r="D53" s="10">
        <v>83</v>
      </c>
      <c r="E53" s="2">
        <v>0</v>
      </c>
      <c r="F53" s="2">
        <v>0</v>
      </c>
      <c r="G53" s="2">
        <v>0</v>
      </c>
      <c r="H53" s="2">
        <v>39.799999999999997</v>
      </c>
      <c r="I53" s="2">
        <v>0</v>
      </c>
      <c r="J53" s="2">
        <v>0</v>
      </c>
      <c r="K53" s="2">
        <v>0</v>
      </c>
      <c r="L53" s="2"/>
      <c r="M53" s="2" t="s">
        <v>83</v>
      </c>
    </row>
    <row r="54" spans="1:13" ht="39.950000000000003" customHeight="1">
      <c r="A54" s="9">
        <v>44</v>
      </c>
      <c r="B54" s="2" t="s">
        <v>24</v>
      </c>
      <c r="C54" s="1" t="s">
        <v>14</v>
      </c>
      <c r="D54" s="9">
        <v>70</v>
      </c>
      <c r="E54" s="2">
        <v>0</v>
      </c>
      <c r="F54" s="2">
        <v>0</v>
      </c>
      <c r="G54" s="2">
        <v>0</v>
      </c>
      <c r="H54" s="2">
        <f>1/70*100</f>
        <v>1.4285714285714286</v>
      </c>
      <c r="I54" s="2">
        <v>0</v>
      </c>
      <c r="J54" s="2">
        <v>0</v>
      </c>
      <c r="K54" s="2">
        <v>0</v>
      </c>
      <c r="L54" s="2">
        <v>0</v>
      </c>
      <c r="M54" s="2" t="s">
        <v>85</v>
      </c>
    </row>
    <row r="55" spans="1:13" ht="39.950000000000003" customHeight="1">
      <c r="A55" s="9">
        <v>45</v>
      </c>
      <c r="B55" s="2" t="s">
        <v>24</v>
      </c>
      <c r="C55" s="2"/>
      <c r="D55" s="9">
        <v>412</v>
      </c>
      <c r="E55" s="2">
        <v>0</v>
      </c>
      <c r="F55" s="2">
        <v>0</v>
      </c>
      <c r="G55" s="2">
        <v>0</v>
      </c>
      <c r="H55" s="2">
        <v>0</v>
      </c>
      <c r="I55" s="2">
        <v>0</v>
      </c>
      <c r="J55" s="2"/>
      <c r="K55" s="2">
        <v>0</v>
      </c>
      <c r="L55" s="2">
        <v>0</v>
      </c>
      <c r="M55" s="2" t="s">
        <v>86</v>
      </c>
    </row>
    <row r="56" spans="1:13" ht="39.950000000000003" customHeight="1">
      <c r="A56" s="9">
        <v>46</v>
      </c>
      <c r="B56" s="1" t="s">
        <v>87</v>
      </c>
      <c r="C56" s="1" t="s">
        <v>36</v>
      </c>
      <c r="D56" s="9">
        <v>39</v>
      </c>
      <c r="E56" s="2"/>
      <c r="F56" s="2">
        <v>30.77</v>
      </c>
      <c r="G56" s="2">
        <v>56.41</v>
      </c>
      <c r="H56" s="2">
        <v>100</v>
      </c>
      <c r="I56" s="2">
        <v>0.38</v>
      </c>
      <c r="J56" s="2"/>
      <c r="K56" s="2"/>
      <c r="L56" s="2"/>
      <c r="M56" s="2" t="s">
        <v>88</v>
      </c>
    </row>
    <row r="57" spans="1:13" ht="39.950000000000003" customHeight="1">
      <c r="A57" s="9">
        <v>47</v>
      </c>
      <c r="B57" s="2" t="s">
        <v>30</v>
      </c>
      <c r="C57" s="2" t="s">
        <v>52</v>
      </c>
      <c r="D57" s="10">
        <v>200</v>
      </c>
      <c r="E57" s="2"/>
      <c r="F57" s="2">
        <v>0</v>
      </c>
      <c r="G57" s="2"/>
      <c r="H57" s="2">
        <f>4/200*10</f>
        <v>0.2</v>
      </c>
      <c r="I57" s="2"/>
      <c r="J57" s="2"/>
      <c r="K57" s="2"/>
      <c r="L57" s="2"/>
      <c r="M57" s="2" t="s">
        <v>89</v>
      </c>
    </row>
    <row r="58" spans="1:13" ht="39.950000000000003" customHeight="1">
      <c r="A58" s="9">
        <v>48</v>
      </c>
      <c r="B58" s="2" t="s">
        <v>90</v>
      </c>
      <c r="C58" s="2" t="s">
        <v>52</v>
      </c>
      <c r="D58" s="10">
        <v>1</v>
      </c>
      <c r="E58" s="2">
        <v>0</v>
      </c>
      <c r="F58" s="2"/>
      <c r="G58" s="2"/>
      <c r="H58" s="2">
        <v>0</v>
      </c>
      <c r="I58" s="2">
        <v>0</v>
      </c>
      <c r="J58" s="2"/>
      <c r="K58" s="2">
        <v>0</v>
      </c>
      <c r="L58" s="2">
        <v>0</v>
      </c>
      <c r="M58" s="2" t="s">
        <v>91</v>
      </c>
    </row>
    <row r="59" spans="1:13" ht="39.950000000000003" customHeight="1">
      <c r="A59" s="9">
        <v>49</v>
      </c>
      <c r="B59" s="2" t="s">
        <v>87</v>
      </c>
      <c r="C59" s="2" t="s">
        <v>70</v>
      </c>
      <c r="D59" s="10">
        <v>27</v>
      </c>
      <c r="E59" s="2">
        <v>0</v>
      </c>
      <c r="F59" s="2">
        <v>0</v>
      </c>
      <c r="G59" s="2">
        <v>0</v>
      </c>
      <c r="H59" s="2">
        <v>0</v>
      </c>
      <c r="I59" s="2">
        <v>0</v>
      </c>
      <c r="J59" s="2"/>
      <c r="K59" s="2"/>
      <c r="L59" s="2">
        <v>18.5</v>
      </c>
      <c r="M59" s="2" t="s">
        <v>92</v>
      </c>
    </row>
    <row r="60" spans="1:13" ht="39.950000000000003" customHeight="1">
      <c r="A60" s="9">
        <v>50</v>
      </c>
      <c r="B60" s="2" t="s">
        <v>16</v>
      </c>
      <c r="C60" s="2" t="s">
        <v>14</v>
      </c>
      <c r="D60" s="10">
        <v>197</v>
      </c>
      <c r="E60" s="2">
        <f>7/197*100</f>
        <v>3.5532994923857872</v>
      </c>
      <c r="F60" s="2">
        <f>1/197*100</f>
        <v>0.50761421319796951</v>
      </c>
      <c r="G60" s="2">
        <v>0</v>
      </c>
      <c r="H60" s="2">
        <f>17/197*100</f>
        <v>8.6294416243654819</v>
      </c>
      <c r="I60" s="2">
        <f>1/197*100</f>
        <v>0.50761421319796951</v>
      </c>
      <c r="J60" s="2"/>
      <c r="K60" s="2">
        <f>2/197*100</f>
        <v>1.015228426395939</v>
      </c>
      <c r="L60" s="2">
        <f>12/197*100</f>
        <v>6.091370558375635</v>
      </c>
      <c r="M60" s="2" t="s">
        <v>93</v>
      </c>
    </row>
    <row r="61" spans="1:13" ht="39.950000000000003" customHeight="1">
      <c r="A61" s="9">
        <v>51</v>
      </c>
      <c r="B61" s="2" t="s">
        <v>16</v>
      </c>
      <c r="C61" s="2" t="s">
        <v>14</v>
      </c>
      <c r="D61" s="10">
        <v>35</v>
      </c>
      <c r="E61" s="2"/>
      <c r="F61" s="2">
        <v>0</v>
      </c>
      <c r="G61" s="2"/>
      <c r="H61" s="2"/>
      <c r="I61" s="2"/>
      <c r="J61" s="2"/>
      <c r="K61" s="2"/>
      <c r="L61" s="2"/>
      <c r="M61" s="2" t="s">
        <v>94</v>
      </c>
    </row>
    <row r="62" spans="1:13" ht="39.950000000000003" customHeight="1">
      <c r="A62" s="9">
        <v>51</v>
      </c>
      <c r="B62" s="2" t="s">
        <v>16</v>
      </c>
      <c r="C62" s="2" t="s">
        <v>14</v>
      </c>
      <c r="D62" s="10">
        <v>37</v>
      </c>
      <c r="E62" s="2"/>
      <c r="F62" s="2">
        <v>0</v>
      </c>
      <c r="G62" s="2"/>
      <c r="H62" s="2"/>
      <c r="I62" s="2"/>
      <c r="J62" s="2"/>
      <c r="K62" s="2"/>
      <c r="L62" s="2"/>
      <c r="M62" s="2" t="s">
        <v>95</v>
      </c>
    </row>
    <row r="63" spans="1:13" ht="39.950000000000003" customHeight="1">
      <c r="A63" s="9">
        <v>51</v>
      </c>
      <c r="B63" s="2" t="s">
        <v>16</v>
      </c>
      <c r="C63" s="2" t="s">
        <v>14</v>
      </c>
      <c r="D63" s="10">
        <v>30</v>
      </c>
      <c r="E63" s="2"/>
      <c r="F63" s="2">
        <v>0</v>
      </c>
      <c r="G63" s="2"/>
      <c r="H63" s="2"/>
      <c r="I63" s="2"/>
      <c r="J63" s="2"/>
      <c r="K63" s="2"/>
      <c r="L63" s="2"/>
      <c r="M63" s="2" t="s">
        <v>96</v>
      </c>
    </row>
    <row r="64" spans="1:13" ht="39.950000000000003" customHeight="1">
      <c r="A64" s="9">
        <v>51</v>
      </c>
      <c r="B64" s="2" t="s">
        <v>16</v>
      </c>
      <c r="C64" s="2" t="s">
        <v>14</v>
      </c>
      <c r="D64" s="10">
        <v>32</v>
      </c>
      <c r="E64" s="2"/>
      <c r="F64" s="2">
        <v>0</v>
      </c>
      <c r="G64" s="2"/>
      <c r="H64" s="2"/>
      <c r="I64" s="2"/>
      <c r="J64" s="2"/>
      <c r="K64" s="2"/>
      <c r="L64" s="2"/>
      <c r="M64" s="2" t="s">
        <v>97</v>
      </c>
    </row>
    <row r="65" spans="1:13" ht="39.950000000000003" customHeight="1">
      <c r="A65" s="9">
        <v>51</v>
      </c>
      <c r="B65" s="2" t="s">
        <v>16</v>
      </c>
      <c r="C65" s="2" t="s">
        <v>14</v>
      </c>
      <c r="D65" s="10">
        <v>34</v>
      </c>
      <c r="E65" s="2"/>
      <c r="F65" s="2">
        <v>0</v>
      </c>
      <c r="G65" s="2"/>
      <c r="H65" s="2"/>
      <c r="I65" s="2"/>
      <c r="J65" s="2"/>
      <c r="K65" s="2"/>
      <c r="L65" s="2"/>
      <c r="M65" s="2" t="s">
        <v>98</v>
      </c>
    </row>
    <row r="66" spans="1:13" ht="39.950000000000003" customHeight="1">
      <c r="A66" s="9">
        <v>51</v>
      </c>
      <c r="B66" s="2" t="s">
        <v>16</v>
      </c>
      <c r="C66" s="2" t="s">
        <v>14</v>
      </c>
      <c r="D66" s="10">
        <v>30</v>
      </c>
      <c r="E66" s="2"/>
      <c r="F66" s="2">
        <v>0</v>
      </c>
      <c r="G66" s="2"/>
      <c r="H66" s="2"/>
      <c r="I66" s="2"/>
      <c r="J66" s="2"/>
      <c r="K66" s="2"/>
      <c r="L66" s="2"/>
      <c r="M66" s="2" t="s">
        <v>99</v>
      </c>
    </row>
    <row r="67" spans="1:13" ht="39.950000000000003" customHeight="1">
      <c r="A67" s="9">
        <v>51</v>
      </c>
      <c r="B67" s="2" t="s">
        <v>16</v>
      </c>
      <c r="C67" s="2" t="s">
        <v>14</v>
      </c>
      <c r="D67" s="10">
        <v>28</v>
      </c>
      <c r="E67" s="2"/>
      <c r="F67" s="2">
        <v>0</v>
      </c>
      <c r="G67" s="2"/>
      <c r="H67" s="2"/>
      <c r="I67" s="2"/>
      <c r="J67" s="2"/>
      <c r="K67" s="2"/>
      <c r="L67" s="2"/>
      <c r="M67" s="2" t="s">
        <v>100</v>
      </c>
    </row>
    <row r="68" spans="1:13" ht="39.950000000000003" customHeight="1">
      <c r="A68" s="9">
        <v>51</v>
      </c>
      <c r="B68" s="2" t="s">
        <v>16</v>
      </c>
      <c r="C68" s="2" t="s">
        <v>14</v>
      </c>
      <c r="D68" s="10">
        <v>30</v>
      </c>
      <c r="E68" s="2"/>
      <c r="F68" s="2">
        <v>0</v>
      </c>
      <c r="G68" s="2"/>
      <c r="H68" s="2"/>
      <c r="I68" s="2"/>
      <c r="J68" s="2"/>
      <c r="K68" s="2"/>
      <c r="L68" s="2"/>
      <c r="M68" s="2" t="s">
        <v>101</v>
      </c>
    </row>
    <row r="69" spans="1:13" ht="39.950000000000003" customHeight="1">
      <c r="A69" s="9">
        <v>51</v>
      </c>
      <c r="B69" s="2" t="s">
        <v>16</v>
      </c>
      <c r="C69" s="2" t="s">
        <v>14</v>
      </c>
      <c r="D69" s="10">
        <v>28</v>
      </c>
      <c r="E69" s="2"/>
      <c r="F69" s="2">
        <v>0</v>
      </c>
      <c r="G69" s="2"/>
      <c r="H69" s="2"/>
      <c r="I69" s="2"/>
      <c r="J69" s="2"/>
      <c r="K69" s="2"/>
      <c r="L69" s="2"/>
      <c r="M69" s="2" t="s">
        <v>102</v>
      </c>
    </row>
    <row r="70" spans="1:13" ht="39.950000000000003" customHeight="1">
      <c r="A70" s="9">
        <v>51</v>
      </c>
      <c r="B70" s="2" t="s">
        <v>16</v>
      </c>
      <c r="C70" s="2" t="s">
        <v>14</v>
      </c>
      <c r="D70" s="10">
        <v>25</v>
      </c>
      <c r="E70" s="2"/>
      <c r="F70" s="2">
        <v>0</v>
      </c>
      <c r="G70" s="2"/>
      <c r="H70" s="2"/>
      <c r="I70" s="2"/>
      <c r="J70" s="2"/>
      <c r="K70" s="2"/>
      <c r="L70" s="2"/>
      <c r="M70" s="2" t="s">
        <v>103</v>
      </c>
    </row>
    <row r="71" spans="1:13" ht="39.950000000000003" customHeight="1">
      <c r="A71" s="9">
        <v>52</v>
      </c>
      <c r="B71" s="2" t="s">
        <v>16</v>
      </c>
      <c r="C71" s="2" t="s">
        <v>104</v>
      </c>
      <c r="D71" s="10">
        <v>8</v>
      </c>
      <c r="E71" s="2">
        <v>0</v>
      </c>
      <c r="F71" s="2">
        <v>0</v>
      </c>
      <c r="G71" s="2">
        <v>0</v>
      </c>
      <c r="H71" s="2">
        <v>0</v>
      </c>
      <c r="I71" s="2"/>
      <c r="J71" s="2">
        <f>2/8*100</f>
        <v>25</v>
      </c>
      <c r="K71" s="2">
        <v>0</v>
      </c>
      <c r="L71" s="2"/>
      <c r="M71" s="2" t="s">
        <v>105</v>
      </c>
    </row>
    <row r="72" spans="1:13" ht="39.950000000000003" customHeight="1">
      <c r="A72" s="9">
        <v>53</v>
      </c>
      <c r="B72" s="2" t="s">
        <v>16</v>
      </c>
      <c r="C72" s="2" t="s">
        <v>14</v>
      </c>
      <c r="D72" s="10">
        <v>42</v>
      </c>
      <c r="E72" s="2">
        <v>0</v>
      </c>
      <c r="F72" s="2">
        <v>0</v>
      </c>
      <c r="G72" s="2">
        <v>0</v>
      </c>
      <c r="H72" s="2">
        <v>0.77</v>
      </c>
      <c r="I72" s="2">
        <v>0</v>
      </c>
      <c r="J72" s="2">
        <v>0</v>
      </c>
      <c r="K72" s="2">
        <v>0</v>
      </c>
      <c r="L72" s="2">
        <v>0</v>
      </c>
      <c r="M72" s="2"/>
    </row>
    <row r="73" spans="1:13" ht="39.950000000000003" customHeight="1">
      <c r="A73" s="9">
        <v>54</v>
      </c>
      <c r="B73" s="2" t="s">
        <v>73</v>
      </c>
      <c r="C73" s="2" t="s">
        <v>14</v>
      </c>
      <c r="D73" s="10">
        <v>72</v>
      </c>
      <c r="E73" s="2">
        <v>0</v>
      </c>
      <c r="F73" s="2">
        <v>0</v>
      </c>
      <c r="G73" s="2">
        <v>0</v>
      </c>
      <c r="H73" s="2">
        <v>1.4</v>
      </c>
      <c r="I73" s="2">
        <v>0</v>
      </c>
      <c r="J73" s="2">
        <v>0</v>
      </c>
      <c r="K73" s="2">
        <v>0</v>
      </c>
      <c r="L73" s="2">
        <v>0</v>
      </c>
      <c r="M73" s="2" t="s">
        <v>106</v>
      </c>
    </row>
    <row r="74" spans="1:13" ht="39.950000000000003" customHeight="1">
      <c r="A74" s="9">
        <v>55</v>
      </c>
      <c r="B74" s="2" t="s">
        <v>107</v>
      </c>
      <c r="C74" s="2" t="s">
        <v>25</v>
      </c>
      <c r="D74" s="10">
        <v>30</v>
      </c>
      <c r="E74" s="2">
        <v>0</v>
      </c>
      <c r="F74" s="2">
        <v>0</v>
      </c>
      <c r="G74" s="2">
        <v>0</v>
      </c>
      <c r="H74" s="2">
        <v>0</v>
      </c>
      <c r="I74" s="2">
        <v>0</v>
      </c>
      <c r="J74" s="2">
        <v>0</v>
      </c>
      <c r="K74" s="2"/>
      <c r="L74" s="2"/>
      <c r="M74" s="2" t="s">
        <v>108</v>
      </c>
    </row>
    <row r="75" spans="1:13" ht="39.950000000000003" customHeight="1">
      <c r="A75" s="9">
        <v>56</v>
      </c>
      <c r="B75" s="2" t="s">
        <v>27</v>
      </c>
      <c r="C75" s="2" t="s">
        <v>25</v>
      </c>
      <c r="D75" s="10">
        <v>114</v>
      </c>
      <c r="E75" s="2">
        <v>18</v>
      </c>
      <c r="F75" s="2">
        <v>0</v>
      </c>
      <c r="G75" s="2">
        <v>3</v>
      </c>
      <c r="H75" s="2">
        <v>43</v>
      </c>
      <c r="I75" s="2">
        <v>0</v>
      </c>
      <c r="J75" s="2"/>
      <c r="K75" s="2">
        <v>0</v>
      </c>
      <c r="L75" s="2">
        <v>99</v>
      </c>
      <c r="M75" s="2" t="s">
        <v>109</v>
      </c>
    </row>
    <row r="76" spans="1:13" ht="39.950000000000003" customHeight="1">
      <c r="A76" s="9">
        <v>57</v>
      </c>
      <c r="B76" s="2" t="s">
        <v>84</v>
      </c>
      <c r="C76" s="2"/>
      <c r="D76" s="10">
        <v>19</v>
      </c>
      <c r="E76" s="2">
        <v>0</v>
      </c>
      <c r="F76" s="2">
        <v>0</v>
      </c>
      <c r="G76" s="2">
        <v>0</v>
      </c>
      <c r="H76" s="2"/>
      <c r="I76" s="2">
        <v>0</v>
      </c>
      <c r="J76" s="2">
        <v>0</v>
      </c>
      <c r="K76" s="2">
        <v>0</v>
      </c>
      <c r="L76" s="2"/>
      <c r="M76" s="2" t="s">
        <v>110</v>
      </c>
    </row>
    <row r="77" spans="1:13" ht="39.950000000000003" customHeight="1">
      <c r="A77" s="9">
        <v>58</v>
      </c>
      <c r="B77" s="1" t="s">
        <v>48</v>
      </c>
      <c r="C77" s="1" t="s">
        <v>25</v>
      </c>
      <c r="D77" s="9">
        <v>30</v>
      </c>
      <c r="E77" s="2">
        <v>10</v>
      </c>
      <c r="F77" s="2">
        <v>0</v>
      </c>
      <c r="G77" s="2">
        <v>6.7</v>
      </c>
      <c r="H77" s="2">
        <v>6.7</v>
      </c>
      <c r="I77" s="2">
        <v>6.7</v>
      </c>
      <c r="J77" s="2">
        <v>13</v>
      </c>
      <c r="K77" s="2">
        <v>0</v>
      </c>
      <c r="L77" s="2">
        <v>0</v>
      </c>
      <c r="M77" s="2" t="s">
        <v>111</v>
      </c>
    </row>
    <row r="78" spans="1:13" ht="39.950000000000003" customHeight="1">
      <c r="A78" s="9">
        <v>59</v>
      </c>
      <c r="B78" s="2" t="s">
        <v>27</v>
      </c>
      <c r="C78" s="2" t="s">
        <v>25</v>
      </c>
      <c r="D78" s="10">
        <v>30</v>
      </c>
      <c r="E78" s="2">
        <v>0</v>
      </c>
      <c r="F78" s="2">
        <v>0</v>
      </c>
      <c r="G78" s="2"/>
      <c r="H78" s="2">
        <v>61.07</v>
      </c>
      <c r="I78" s="2">
        <v>9.08</v>
      </c>
      <c r="J78" s="2"/>
      <c r="K78" s="2">
        <v>0</v>
      </c>
      <c r="L78" s="2">
        <v>8.77</v>
      </c>
      <c r="M78" s="2" t="s">
        <v>112</v>
      </c>
    </row>
    <row r="79" spans="1:13" ht="39.950000000000003" customHeight="1">
      <c r="A79" s="9">
        <v>60</v>
      </c>
      <c r="B79" s="2" t="s">
        <v>22</v>
      </c>
      <c r="C79" s="2" t="s">
        <v>14</v>
      </c>
      <c r="D79" s="10">
        <v>13</v>
      </c>
      <c r="E79" s="2"/>
      <c r="F79" s="2">
        <v>0</v>
      </c>
      <c r="G79" s="2"/>
      <c r="H79" s="2">
        <f>10/13*100</f>
        <v>76.923076923076934</v>
      </c>
      <c r="I79" s="2">
        <v>0</v>
      </c>
      <c r="J79" s="2"/>
      <c r="K79" s="2"/>
      <c r="L79" s="2">
        <v>0</v>
      </c>
      <c r="M79" s="2" t="s">
        <v>113</v>
      </c>
    </row>
    <row r="80" spans="1:13" ht="39.950000000000003" customHeight="1">
      <c r="A80" s="9">
        <v>61</v>
      </c>
      <c r="B80" s="2" t="s">
        <v>16</v>
      </c>
      <c r="C80" s="2" t="s">
        <v>114</v>
      </c>
      <c r="D80" s="10">
        <v>64</v>
      </c>
      <c r="E80" s="2"/>
      <c r="F80" s="2">
        <v>47</v>
      </c>
      <c r="G80" s="2"/>
      <c r="H80" s="2">
        <v>100</v>
      </c>
      <c r="I80" s="2">
        <v>0</v>
      </c>
      <c r="J80" s="2"/>
      <c r="K80" s="2"/>
      <c r="L80" s="2">
        <v>66</v>
      </c>
      <c r="M80" s="2" t="s">
        <v>115</v>
      </c>
    </row>
    <row r="81" spans="1:13" ht="39.950000000000003" customHeight="1">
      <c r="A81" s="9">
        <v>62</v>
      </c>
      <c r="B81" s="1" t="s">
        <v>16</v>
      </c>
      <c r="C81" s="1" t="s">
        <v>52</v>
      </c>
      <c r="D81" s="9">
        <v>325</v>
      </c>
      <c r="E81" s="1"/>
      <c r="F81" s="1"/>
      <c r="G81" s="1"/>
      <c r="H81" s="1"/>
      <c r="I81" s="1">
        <v>0</v>
      </c>
      <c r="J81" s="1"/>
      <c r="K81" s="1"/>
      <c r="L81" s="1">
        <v>0</v>
      </c>
      <c r="M81" s="1" t="s">
        <v>116</v>
      </c>
    </row>
    <row r="82" spans="1:13" ht="39.950000000000003" customHeight="1">
      <c r="A82" s="9">
        <v>63</v>
      </c>
      <c r="B82" s="2" t="s">
        <v>13</v>
      </c>
      <c r="C82" s="2"/>
      <c r="D82" s="10">
        <v>150</v>
      </c>
      <c r="E82" s="2">
        <v>1.4</v>
      </c>
      <c r="F82" s="2">
        <v>0</v>
      </c>
      <c r="G82" s="2"/>
      <c r="H82" s="2">
        <v>4.7</v>
      </c>
      <c r="I82" s="2">
        <v>0</v>
      </c>
      <c r="J82" s="2"/>
      <c r="K82" s="2">
        <v>0</v>
      </c>
      <c r="L82" s="2">
        <v>2</v>
      </c>
      <c r="M82" s="2" t="s">
        <v>117</v>
      </c>
    </row>
    <row r="83" spans="1:13" ht="39.950000000000003" customHeight="1">
      <c r="A83" s="9">
        <v>64</v>
      </c>
      <c r="B83" s="2" t="s">
        <v>87</v>
      </c>
      <c r="C83" s="2" t="s">
        <v>14</v>
      </c>
      <c r="D83" s="10">
        <v>24</v>
      </c>
      <c r="E83" s="2"/>
      <c r="F83" s="2">
        <v>0</v>
      </c>
      <c r="G83" s="2"/>
      <c r="H83" s="2">
        <v>0</v>
      </c>
      <c r="I83" s="2">
        <v>0</v>
      </c>
      <c r="J83" s="2"/>
      <c r="K83" s="2"/>
      <c r="L83" s="2">
        <v>0</v>
      </c>
      <c r="M83" s="2" t="s">
        <v>118</v>
      </c>
    </row>
    <row r="84" spans="1:13" ht="39.950000000000003" customHeight="1">
      <c r="A84" s="9">
        <v>65</v>
      </c>
      <c r="B84" s="2" t="s">
        <v>20</v>
      </c>
      <c r="C84" s="2" t="s">
        <v>14</v>
      </c>
      <c r="D84" s="10">
        <v>57</v>
      </c>
      <c r="E84" s="2">
        <f>2/37*100</f>
        <v>5.4054054054054053</v>
      </c>
      <c r="F84" s="2">
        <v>0</v>
      </c>
      <c r="G84" s="2">
        <v>0</v>
      </c>
      <c r="H84" s="2">
        <f>2/37*100</f>
        <v>5.4054054054054053</v>
      </c>
      <c r="I84" s="2"/>
      <c r="J84" s="2"/>
      <c r="K84" s="2"/>
      <c r="L84" s="2"/>
      <c r="M84" s="2" t="s">
        <v>119</v>
      </c>
    </row>
    <row r="85" spans="1:13" ht="39.950000000000003" customHeight="1">
      <c r="A85" s="9" t="s">
        <v>120</v>
      </c>
      <c r="B85" s="2" t="s">
        <v>46</v>
      </c>
      <c r="C85" s="2" t="s">
        <v>14</v>
      </c>
      <c r="D85" s="10">
        <v>90</v>
      </c>
      <c r="E85" s="2">
        <v>10.022222222222222</v>
      </c>
      <c r="F85" s="2">
        <v>0</v>
      </c>
      <c r="G85" s="2">
        <v>1.1111111111111112</v>
      </c>
      <c r="H85" s="2">
        <v>11.111111111111111</v>
      </c>
      <c r="I85" s="2">
        <v>0</v>
      </c>
      <c r="J85" s="2">
        <v>10</v>
      </c>
      <c r="K85" s="2">
        <v>2.2222222222222223</v>
      </c>
      <c r="L85" s="2">
        <v>0</v>
      </c>
      <c r="M85" s="2" t="s">
        <v>121</v>
      </c>
    </row>
    <row r="86" spans="1:13" ht="39.950000000000003" customHeight="1">
      <c r="A86" s="9">
        <v>68</v>
      </c>
      <c r="B86" s="2" t="s">
        <v>20</v>
      </c>
      <c r="C86" s="2" t="s">
        <v>62</v>
      </c>
      <c r="D86" s="10">
        <v>43</v>
      </c>
      <c r="E86" s="2">
        <v>4.6500000000000004</v>
      </c>
      <c r="F86" s="2">
        <v>13.95</v>
      </c>
      <c r="G86" s="2">
        <v>4.6500000000000004</v>
      </c>
      <c r="H86" s="2">
        <v>16.28</v>
      </c>
      <c r="I86" s="2">
        <v>2.33</v>
      </c>
      <c r="J86" s="2"/>
      <c r="K86" s="2">
        <v>6.98</v>
      </c>
      <c r="L86" s="2">
        <v>90.7</v>
      </c>
      <c r="M86" s="2" t="s">
        <v>122</v>
      </c>
    </row>
    <row r="87" spans="1:13" ht="39.950000000000003" customHeight="1">
      <c r="A87" s="9">
        <v>69</v>
      </c>
      <c r="B87" s="2" t="s">
        <v>123</v>
      </c>
      <c r="C87" s="2" t="s">
        <v>14</v>
      </c>
      <c r="D87" s="10">
        <v>71</v>
      </c>
      <c r="E87" s="2"/>
      <c r="F87" s="2">
        <v>0</v>
      </c>
      <c r="G87" s="2"/>
      <c r="H87" s="2">
        <v>0</v>
      </c>
      <c r="I87" s="2">
        <v>0</v>
      </c>
      <c r="J87" s="2"/>
      <c r="K87" s="2">
        <v>0</v>
      </c>
      <c r="L87" s="2">
        <v>0</v>
      </c>
      <c r="M87" s="2" t="s">
        <v>124</v>
      </c>
    </row>
    <row r="88" spans="1:13" ht="39.950000000000003" customHeight="1">
      <c r="A88" s="9">
        <v>70</v>
      </c>
      <c r="B88" s="2" t="s">
        <v>87</v>
      </c>
      <c r="C88" s="2" t="s">
        <v>14</v>
      </c>
      <c r="D88" s="10">
        <v>7</v>
      </c>
      <c r="E88" s="2">
        <v>0</v>
      </c>
      <c r="F88" s="2">
        <v>0</v>
      </c>
      <c r="G88" s="2">
        <v>0</v>
      </c>
      <c r="H88" s="2">
        <v>0</v>
      </c>
      <c r="I88" s="2"/>
      <c r="J88" s="2">
        <v>0</v>
      </c>
      <c r="K88" s="2"/>
      <c r="L88" s="2"/>
      <c r="M88" s="2" t="s">
        <v>125</v>
      </c>
    </row>
    <row r="89" spans="1:13" ht="39.950000000000003" customHeight="1">
      <c r="A89" s="9">
        <v>70</v>
      </c>
      <c r="B89" s="2" t="s">
        <v>87</v>
      </c>
      <c r="C89" s="2" t="s">
        <v>126</v>
      </c>
      <c r="D89" s="10">
        <v>12</v>
      </c>
      <c r="E89" s="2">
        <v>100</v>
      </c>
      <c r="F89" s="2">
        <v>66.7</v>
      </c>
      <c r="G89" s="2">
        <v>75</v>
      </c>
      <c r="H89" s="2">
        <v>100</v>
      </c>
      <c r="I89" s="2"/>
      <c r="J89" s="2">
        <v>50</v>
      </c>
      <c r="K89" s="2"/>
      <c r="L89" s="2"/>
      <c r="M89" s="2" t="s">
        <v>125</v>
      </c>
    </row>
    <row r="90" spans="1:13" ht="39.950000000000003" customHeight="1">
      <c r="A90" s="9">
        <v>71</v>
      </c>
      <c r="B90" s="2" t="s">
        <v>24</v>
      </c>
      <c r="C90" s="2" t="s">
        <v>127</v>
      </c>
      <c r="D90" s="10">
        <v>7</v>
      </c>
      <c r="E90" s="2"/>
      <c r="F90" s="2"/>
      <c r="G90" s="2"/>
      <c r="H90" s="2"/>
      <c r="I90" s="2"/>
      <c r="J90" s="2"/>
      <c r="K90" s="2"/>
      <c r="L90" s="2">
        <v>77.777777777777786</v>
      </c>
      <c r="M90" s="2" t="s">
        <v>128</v>
      </c>
    </row>
    <row r="91" spans="1:13" ht="39.950000000000003" customHeight="1">
      <c r="A91" s="9">
        <v>72</v>
      </c>
      <c r="B91" s="1" t="s">
        <v>46</v>
      </c>
      <c r="C91" s="1" t="s">
        <v>52</v>
      </c>
      <c r="D91" s="9">
        <v>5</v>
      </c>
      <c r="E91" s="1">
        <v>0</v>
      </c>
      <c r="F91" s="1">
        <v>0</v>
      </c>
      <c r="G91" s="1"/>
      <c r="H91" s="1">
        <v>0</v>
      </c>
      <c r="I91" s="1">
        <v>0</v>
      </c>
      <c r="J91" s="1"/>
      <c r="K91" s="1">
        <v>0</v>
      </c>
      <c r="L91" s="1">
        <v>0</v>
      </c>
      <c r="M91" s="1" t="s">
        <v>129</v>
      </c>
    </row>
    <row r="92" spans="1:13" ht="39.950000000000003" customHeight="1">
      <c r="A92" s="9">
        <v>72</v>
      </c>
      <c r="B92" s="1" t="s">
        <v>46</v>
      </c>
      <c r="C92" s="1" t="s">
        <v>52</v>
      </c>
      <c r="D92" s="9">
        <v>3</v>
      </c>
      <c r="E92" s="1">
        <v>0</v>
      </c>
      <c r="F92" s="1">
        <v>0</v>
      </c>
      <c r="G92" s="1"/>
      <c r="H92" s="1">
        <v>0</v>
      </c>
      <c r="I92" s="1">
        <v>0</v>
      </c>
      <c r="J92" s="1"/>
      <c r="K92" s="1">
        <v>0</v>
      </c>
      <c r="L92" s="1">
        <v>0</v>
      </c>
      <c r="M92" s="1" t="s">
        <v>129</v>
      </c>
    </row>
    <row r="93" spans="1:13" ht="39.950000000000003" customHeight="1">
      <c r="A93" s="9">
        <v>72</v>
      </c>
      <c r="B93" s="1" t="s">
        <v>46</v>
      </c>
      <c r="C93" s="1" t="s">
        <v>52</v>
      </c>
      <c r="D93" s="9">
        <v>5</v>
      </c>
      <c r="E93" s="1">
        <v>0</v>
      </c>
      <c r="F93" s="1">
        <v>0</v>
      </c>
      <c r="G93" s="1"/>
      <c r="H93" s="1">
        <v>0</v>
      </c>
      <c r="I93" s="1">
        <v>0</v>
      </c>
      <c r="J93" s="1"/>
      <c r="K93" s="1">
        <v>0</v>
      </c>
      <c r="L93" s="1">
        <v>0</v>
      </c>
      <c r="M93" s="1" t="s">
        <v>130</v>
      </c>
    </row>
    <row r="94" spans="1:13" ht="39.950000000000003" customHeight="1">
      <c r="A94" s="9">
        <v>72</v>
      </c>
      <c r="B94" s="1" t="s">
        <v>46</v>
      </c>
      <c r="C94" s="1" t="s">
        <v>52</v>
      </c>
      <c r="D94" s="9">
        <v>3</v>
      </c>
      <c r="E94" s="1">
        <v>0</v>
      </c>
      <c r="F94" s="1">
        <v>0</v>
      </c>
      <c r="G94" s="1"/>
      <c r="H94" s="1">
        <v>0</v>
      </c>
      <c r="I94" s="1">
        <v>0</v>
      </c>
      <c r="J94" s="1"/>
      <c r="K94" s="1">
        <v>0</v>
      </c>
      <c r="L94" s="1">
        <v>0</v>
      </c>
      <c r="M94" s="1" t="s">
        <v>131</v>
      </c>
    </row>
    <row r="95" spans="1:13" ht="39.950000000000003" customHeight="1">
      <c r="A95" s="9">
        <v>72</v>
      </c>
      <c r="B95" s="1" t="s">
        <v>46</v>
      </c>
      <c r="C95" s="1" t="s">
        <v>52</v>
      </c>
      <c r="D95" s="9">
        <v>3</v>
      </c>
      <c r="E95" s="1">
        <v>0</v>
      </c>
      <c r="F95" s="1">
        <v>0</v>
      </c>
      <c r="G95" s="1"/>
      <c r="H95" s="1">
        <v>0</v>
      </c>
      <c r="I95" s="1">
        <v>0</v>
      </c>
      <c r="J95" s="1"/>
      <c r="K95" s="1">
        <v>0</v>
      </c>
      <c r="L95" s="1">
        <v>11.1</v>
      </c>
      <c r="M95" s="1" t="s">
        <v>129</v>
      </c>
    </row>
    <row r="96" spans="1:13" ht="39.950000000000003" customHeight="1">
      <c r="A96" s="9">
        <v>72</v>
      </c>
      <c r="B96" s="1" t="s">
        <v>46</v>
      </c>
      <c r="C96" s="1" t="s">
        <v>52</v>
      </c>
      <c r="D96" s="9">
        <v>5</v>
      </c>
      <c r="E96" s="1">
        <v>0</v>
      </c>
      <c r="F96" s="1">
        <v>0</v>
      </c>
      <c r="G96" s="1"/>
      <c r="H96" s="1">
        <v>0</v>
      </c>
      <c r="I96" s="1">
        <v>0</v>
      </c>
      <c r="J96" s="1"/>
      <c r="K96" s="1">
        <v>0</v>
      </c>
      <c r="L96" s="1">
        <v>13.3</v>
      </c>
      <c r="M96" s="1" t="s">
        <v>129</v>
      </c>
    </row>
    <row r="97" spans="1:13" ht="39.950000000000003" customHeight="1">
      <c r="A97" s="9">
        <v>73</v>
      </c>
      <c r="B97" s="1" t="s">
        <v>84</v>
      </c>
      <c r="C97" s="1" t="s">
        <v>70</v>
      </c>
      <c r="D97" s="9">
        <v>18</v>
      </c>
      <c r="E97" s="1"/>
      <c r="F97" s="1"/>
      <c r="G97" s="1"/>
      <c r="H97" s="1"/>
      <c r="I97" s="1">
        <v>0</v>
      </c>
      <c r="J97" s="1"/>
      <c r="K97" s="1"/>
      <c r="L97" s="1">
        <v>0</v>
      </c>
      <c r="M97" s="1" t="s">
        <v>132</v>
      </c>
    </row>
    <row r="98" spans="1:13" ht="39.950000000000003" customHeight="1">
      <c r="A98" s="9">
        <v>73</v>
      </c>
      <c r="B98" s="1" t="s">
        <v>84</v>
      </c>
      <c r="C98" s="1" t="s">
        <v>70</v>
      </c>
      <c r="D98" s="9">
        <v>2</v>
      </c>
      <c r="E98" s="1"/>
      <c r="F98" s="1"/>
      <c r="G98" s="1"/>
      <c r="H98" s="1"/>
      <c r="I98" s="1">
        <v>0</v>
      </c>
      <c r="J98" s="1"/>
      <c r="K98" s="1"/>
      <c r="L98" s="1">
        <v>0</v>
      </c>
      <c r="M98" s="1" t="s">
        <v>132</v>
      </c>
    </row>
    <row r="99" spans="1:13" ht="39.950000000000003" customHeight="1">
      <c r="A99" s="9">
        <v>74</v>
      </c>
      <c r="B99" s="2" t="s">
        <v>61</v>
      </c>
      <c r="C99" s="2" t="s">
        <v>52</v>
      </c>
      <c r="D99" s="10">
        <v>20</v>
      </c>
      <c r="E99" s="2"/>
      <c r="F99" s="2">
        <v>0</v>
      </c>
      <c r="G99" s="2"/>
      <c r="H99" s="2">
        <v>0</v>
      </c>
      <c r="I99" s="2">
        <v>0</v>
      </c>
      <c r="J99" s="2"/>
      <c r="K99" s="2">
        <v>0</v>
      </c>
      <c r="L99" s="2">
        <v>0</v>
      </c>
      <c r="M99" s="2" t="s">
        <v>133</v>
      </c>
    </row>
    <row r="100" spans="1:13" ht="39.950000000000003" customHeight="1">
      <c r="A100" s="9">
        <v>75</v>
      </c>
      <c r="B100" s="1" t="s">
        <v>51</v>
      </c>
      <c r="C100" s="1" t="s">
        <v>43</v>
      </c>
      <c r="D100" s="9">
        <v>69</v>
      </c>
      <c r="E100" s="2">
        <v>0</v>
      </c>
      <c r="F100" s="2">
        <v>0</v>
      </c>
      <c r="G100" s="2">
        <v>0</v>
      </c>
      <c r="H100" s="2">
        <v>0</v>
      </c>
      <c r="I100" s="2">
        <v>0</v>
      </c>
      <c r="J100" s="2">
        <v>0</v>
      </c>
      <c r="K100" s="2"/>
      <c r="L100" s="2">
        <v>0</v>
      </c>
      <c r="M100" s="1" t="s">
        <v>134</v>
      </c>
    </row>
    <row r="101" spans="1:13" ht="39.950000000000003" customHeight="1">
      <c r="A101" s="9">
        <v>76</v>
      </c>
      <c r="B101" s="2" t="s">
        <v>87</v>
      </c>
      <c r="C101" s="2" t="s">
        <v>14</v>
      </c>
      <c r="D101" s="10">
        <v>146</v>
      </c>
      <c r="E101" s="2">
        <v>2.0299999999999998</v>
      </c>
      <c r="F101" s="2">
        <v>0</v>
      </c>
      <c r="G101" s="2"/>
      <c r="H101" s="2">
        <v>0</v>
      </c>
      <c r="I101" s="2">
        <v>1.35</v>
      </c>
      <c r="J101" s="2"/>
      <c r="K101" s="2">
        <v>15.57</v>
      </c>
      <c r="L101" s="2">
        <v>0</v>
      </c>
      <c r="M101" s="2" t="s">
        <v>135</v>
      </c>
    </row>
    <row r="102" spans="1:13" ht="39.950000000000003" customHeight="1">
      <c r="A102" s="9">
        <v>77</v>
      </c>
      <c r="B102" s="2" t="s">
        <v>90</v>
      </c>
      <c r="C102" s="2" t="s">
        <v>136</v>
      </c>
      <c r="D102" s="10">
        <v>16</v>
      </c>
      <c r="E102" s="2">
        <f>11/16*100</f>
        <v>68.75</v>
      </c>
      <c r="F102" s="2">
        <v>0</v>
      </c>
      <c r="G102" s="2">
        <v>0</v>
      </c>
      <c r="H102" s="2">
        <v>100</v>
      </c>
      <c r="I102" s="2"/>
      <c r="J102" s="2">
        <v>0</v>
      </c>
      <c r="K102" s="2">
        <v>0</v>
      </c>
      <c r="L102" s="2"/>
      <c r="M102" s="2" t="s">
        <v>137</v>
      </c>
    </row>
    <row r="103" spans="1:13" ht="39.950000000000003" customHeight="1">
      <c r="A103" s="9">
        <v>78</v>
      </c>
      <c r="B103" s="2" t="s">
        <v>16</v>
      </c>
      <c r="C103" s="2" t="s">
        <v>14</v>
      </c>
      <c r="D103" s="10">
        <v>29</v>
      </c>
      <c r="E103" s="2">
        <f>2/29*100</f>
        <v>6.8965517241379306</v>
      </c>
      <c r="F103" s="2">
        <v>0</v>
      </c>
      <c r="G103" s="2">
        <v>0</v>
      </c>
      <c r="H103" s="2">
        <f>4/29*100</f>
        <v>13.793103448275861</v>
      </c>
      <c r="I103" s="2"/>
      <c r="J103" s="2"/>
      <c r="K103" s="2"/>
      <c r="L103" s="2"/>
      <c r="M103" s="2" t="s">
        <v>138</v>
      </c>
    </row>
    <row r="104" spans="1:13" ht="39.950000000000003" customHeight="1">
      <c r="A104" s="9">
        <v>79</v>
      </c>
      <c r="B104" s="2" t="s">
        <v>84</v>
      </c>
      <c r="C104" s="2" t="s">
        <v>14</v>
      </c>
      <c r="D104" s="10">
        <v>6</v>
      </c>
      <c r="E104" s="2">
        <v>0</v>
      </c>
      <c r="F104" s="2">
        <v>0</v>
      </c>
      <c r="G104" s="2">
        <v>0</v>
      </c>
      <c r="H104" s="2">
        <v>100</v>
      </c>
      <c r="I104" s="2">
        <v>100</v>
      </c>
      <c r="J104" s="2"/>
      <c r="K104" s="2">
        <v>0</v>
      </c>
      <c r="L104" s="2">
        <v>0</v>
      </c>
      <c r="M104" s="2" t="s">
        <v>139</v>
      </c>
    </row>
    <row r="105" spans="1:13" ht="39.950000000000003" customHeight="1">
      <c r="A105" s="9">
        <v>80</v>
      </c>
      <c r="B105" s="2" t="s">
        <v>22</v>
      </c>
      <c r="C105" s="2"/>
      <c r="D105" s="10">
        <v>162</v>
      </c>
      <c r="E105" s="2">
        <v>0</v>
      </c>
      <c r="F105" s="2">
        <v>0</v>
      </c>
      <c r="G105" s="2">
        <v>0</v>
      </c>
      <c r="H105" s="2"/>
      <c r="I105" s="2">
        <v>0</v>
      </c>
      <c r="J105" s="2"/>
      <c r="K105" s="2">
        <v>0</v>
      </c>
      <c r="L105" s="2"/>
      <c r="M105" s="2" t="s">
        <v>140</v>
      </c>
    </row>
    <row r="106" spans="1:13" ht="39.950000000000003" customHeight="1">
      <c r="A106" s="9">
        <v>81</v>
      </c>
      <c r="B106" s="2" t="s">
        <v>48</v>
      </c>
      <c r="C106" s="2"/>
      <c r="D106" s="10">
        <v>61</v>
      </c>
      <c r="E106" s="2">
        <v>0</v>
      </c>
      <c r="F106" s="2">
        <v>0</v>
      </c>
      <c r="G106" s="2">
        <v>0</v>
      </c>
      <c r="H106" s="2"/>
      <c r="I106" s="2"/>
      <c r="J106" s="2">
        <v>0</v>
      </c>
      <c r="K106" s="2">
        <v>0</v>
      </c>
      <c r="L106" s="2"/>
      <c r="M106" s="2" t="s">
        <v>141</v>
      </c>
    </row>
    <row r="107" spans="1:13" ht="39.950000000000003" customHeight="1">
      <c r="A107" s="9">
        <v>81</v>
      </c>
      <c r="B107" s="2" t="s">
        <v>48</v>
      </c>
      <c r="C107" s="2" t="s">
        <v>14</v>
      </c>
      <c r="D107" s="10">
        <v>61</v>
      </c>
      <c r="E107" s="2">
        <v>0</v>
      </c>
      <c r="F107" s="2">
        <v>0</v>
      </c>
      <c r="G107" s="2">
        <v>0</v>
      </c>
      <c r="H107" s="2"/>
      <c r="I107" s="2"/>
      <c r="J107" s="2">
        <v>0</v>
      </c>
      <c r="K107" s="2">
        <v>0</v>
      </c>
      <c r="L107" s="2"/>
      <c r="M107" s="2" t="s">
        <v>141</v>
      </c>
    </row>
    <row r="108" spans="1:13" ht="39.950000000000003" customHeight="1">
      <c r="A108" s="9">
        <v>82</v>
      </c>
      <c r="B108" s="2" t="s">
        <v>142</v>
      </c>
      <c r="C108" s="2"/>
      <c r="D108" s="10">
        <v>19</v>
      </c>
      <c r="E108" s="2">
        <v>0</v>
      </c>
      <c r="F108" s="2">
        <v>0</v>
      </c>
      <c r="G108" s="2"/>
      <c r="H108" s="2">
        <v>0</v>
      </c>
      <c r="I108" s="2">
        <v>0</v>
      </c>
      <c r="J108" s="2"/>
      <c r="K108" s="2">
        <v>0</v>
      </c>
      <c r="L108" s="2">
        <v>0</v>
      </c>
      <c r="M108" s="2" t="s">
        <v>143</v>
      </c>
    </row>
    <row r="109" spans="1:13" ht="39.950000000000003" customHeight="1">
      <c r="A109" s="9">
        <v>83</v>
      </c>
      <c r="B109" s="1" t="s">
        <v>51</v>
      </c>
      <c r="C109" s="1" t="s">
        <v>14</v>
      </c>
      <c r="D109" s="9">
        <v>20</v>
      </c>
      <c r="E109" s="1"/>
      <c r="F109" s="1"/>
      <c r="G109" s="1"/>
      <c r="H109" s="1"/>
      <c r="I109" s="1"/>
      <c r="J109" s="1"/>
      <c r="K109" s="1"/>
      <c r="L109" s="1">
        <v>0</v>
      </c>
      <c r="M109" s="1" t="s">
        <v>144</v>
      </c>
    </row>
    <row r="110" spans="1:13" ht="39.950000000000003" customHeight="1">
      <c r="A110" s="9">
        <v>84</v>
      </c>
      <c r="B110" s="2" t="s">
        <v>145</v>
      </c>
      <c r="C110" s="2" t="s">
        <v>14</v>
      </c>
      <c r="D110" s="10">
        <v>450</v>
      </c>
      <c r="E110" s="2"/>
      <c r="F110" s="2">
        <v>0</v>
      </c>
      <c r="G110" s="2"/>
      <c r="H110" s="2">
        <v>0.32</v>
      </c>
      <c r="I110" s="2">
        <v>0</v>
      </c>
      <c r="J110" s="2">
        <v>0.45</v>
      </c>
      <c r="K110" s="2">
        <v>0</v>
      </c>
      <c r="L110" s="2">
        <v>0.12</v>
      </c>
      <c r="M110" s="2" t="s">
        <v>146</v>
      </c>
    </row>
    <row r="111" spans="1:13" ht="39.950000000000003" customHeight="1">
      <c r="A111" s="9" t="s">
        <v>147</v>
      </c>
      <c r="B111" s="2" t="s">
        <v>48</v>
      </c>
      <c r="C111" s="2"/>
      <c r="D111" s="10">
        <v>218</v>
      </c>
      <c r="E111" s="2">
        <v>3.4</v>
      </c>
      <c r="F111" s="2">
        <v>0</v>
      </c>
      <c r="G111" s="2">
        <v>0</v>
      </c>
      <c r="H111" s="2">
        <v>32.061834862385325</v>
      </c>
      <c r="I111" s="2">
        <v>1.83302752293578</v>
      </c>
      <c r="J111" s="2">
        <v>5.9</v>
      </c>
      <c r="K111" s="2">
        <v>0</v>
      </c>
      <c r="L111" s="2">
        <v>23.41449541284404</v>
      </c>
      <c r="M111" s="2" t="s">
        <v>148</v>
      </c>
    </row>
    <row r="112" spans="1:13" ht="39.950000000000003" customHeight="1">
      <c r="A112" s="9">
        <v>87</v>
      </c>
      <c r="B112" s="2" t="s">
        <v>27</v>
      </c>
      <c r="C112" s="2" t="s">
        <v>14</v>
      </c>
      <c r="D112" s="10">
        <v>40</v>
      </c>
      <c r="E112" s="2">
        <f>7/40*100</f>
        <v>17.5</v>
      </c>
      <c r="F112" s="2">
        <f>8/40*100</f>
        <v>20</v>
      </c>
      <c r="G112" s="2"/>
      <c r="H112" s="2">
        <f>2/40*100</f>
        <v>5</v>
      </c>
      <c r="I112" s="2">
        <v>0</v>
      </c>
      <c r="J112" s="2"/>
      <c r="K112" s="2">
        <v>0</v>
      </c>
      <c r="L112" s="2">
        <f>2/40*100</f>
        <v>5</v>
      </c>
      <c r="M112" s="2" t="s">
        <v>149</v>
      </c>
    </row>
    <row r="113" spans="1:13" ht="39.950000000000003" customHeight="1">
      <c r="A113" s="9">
        <v>88</v>
      </c>
      <c r="B113" s="2" t="s">
        <v>16</v>
      </c>
      <c r="C113" s="2" t="s">
        <v>150</v>
      </c>
      <c r="D113" s="10">
        <v>64</v>
      </c>
      <c r="E113" s="2">
        <f>40/64*100</f>
        <v>62.5</v>
      </c>
      <c r="F113" s="2">
        <v>0</v>
      </c>
      <c r="G113" s="2">
        <v>0</v>
      </c>
      <c r="H113" s="2">
        <v>50</v>
      </c>
      <c r="I113" s="2"/>
      <c r="J113" s="2"/>
      <c r="K113" s="2">
        <v>0</v>
      </c>
      <c r="L113" s="2"/>
      <c r="M113" s="2" t="s">
        <v>151</v>
      </c>
    </row>
    <row r="114" spans="1:13" ht="39.950000000000003" customHeight="1">
      <c r="A114" s="9">
        <v>89</v>
      </c>
      <c r="B114" s="2" t="s">
        <v>82</v>
      </c>
      <c r="C114" s="2" t="s">
        <v>14</v>
      </c>
      <c r="D114" s="10">
        <v>1</v>
      </c>
      <c r="E114" s="2"/>
      <c r="F114" s="2">
        <v>0</v>
      </c>
      <c r="G114" s="2"/>
      <c r="H114" s="2"/>
      <c r="I114" s="2">
        <v>0</v>
      </c>
      <c r="J114" s="2"/>
      <c r="K114" s="2">
        <v>0</v>
      </c>
      <c r="L114" s="2">
        <v>0</v>
      </c>
      <c r="M114" s="2" t="s">
        <v>152</v>
      </c>
    </row>
    <row r="115" spans="1:13" ht="39.950000000000003" customHeight="1">
      <c r="A115" s="9">
        <v>89</v>
      </c>
      <c r="B115" s="2" t="s">
        <v>82</v>
      </c>
      <c r="C115" s="2" t="s">
        <v>14</v>
      </c>
      <c r="D115" s="10">
        <v>1</v>
      </c>
      <c r="E115" s="2"/>
      <c r="F115" s="2">
        <v>0</v>
      </c>
      <c r="G115" s="2"/>
      <c r="H115" s="2"/>
      <c r="I115" s="2">
        <v>0</v>
      </c>
      <c r="J115" s="2"/>
      <c r="K115" s="2">
        <v>0</v>
      </c>
      <c r="L115" s="2">
        <v>0</v>
      </c>
      <c r="M115" s="2" t="s">
        <v>153</v>
      </c>
    </row>
    <row r="116" spans="1:13" ht="39.950000000000003" customHeight="1">
      <c r="A116" s="9">
        <v>89</v>
      </c>
      <c r="B116" s="2" t="s">
        <v>82</v>
      </c>
      <c r="C116" s="2" t="s">
        <v>14</v>
      </c>
      <c r="D116" s="10">
        <v>1</v>
      </c>
      <c r="E116" s="2"/>
      <c r="F116" s="2">
        <v>0</v>
      </c>
      <c r="G116" s="2"/>
      <c r="H116" s="2"/>
      <c r="I116" s="2">
        <v>0</v>
      </c>
      <c r="J116" s="2"/>
      <c r="K116" s="2">
        <v>0</v>
      </c>
      <c r="L116" s="2">
        <v>0</v>
      </c>
      <c r="M116" s="2" t="s">
        <v>154</v>
      </c>
    </row>
    <row r="117" spans="1:13" ht="39.950000000000003" customHeight="1">
      <c r="A117" s="9">
        <v>89</v>
      </c>
      <c r="B117" s="2" t="s">
        <v>82</v>
      </c>
      <c r="C117" s="2" t="s">
        <v>14</v>
      </c>
      <c r="D117" s="10">
        <v>1</v>
      </c>
      <c r="E117" s="2"/>
      <c r="F117" s="2">
        <v>0</v>
      </c>
      <c r="G117" s="2"/>
      <c r="H117" s="2"/>
      <c r="I117" s="2">
        <v>0</v>
      </c>
      <c r="J117" s="2"/>
      <c r="K117" s="2">
        <v>0</v>
      </c>
      <c r="L117" s="2">
        <v>0</v>
      </c>
      <c r="M117" s="2" t="s">
        <v>155</v>
      </c>
    </row>
    <row r="118" spans="1:13" ht="39.950000000000003" customHeight="1">
      <c r="A118" s="9">
        <v>89</v>
      </c>
      <c r="B118" s="2" t="s">
        <v>82</v>
      </c>
      <c r="C118" s="2" t="s">
        <v>14</v>
      </c>
      <c r="D118" s="10">
        <v>1</v>
      </c>
      <c r="E118" s="2"/>
      <c r="F118" s="2">
        <v>0</v>
      </c>
      <c r="G118" s="2"/>
      <c r="H118" s="2"/>
      <c r="I118" s="2">
        <v>0</v>
      </c>
      <c r="J118" s="2"/>
      <c r="K118" s="2">
        <v>0</v>
      </c>
      <c r="L118" s="2">
        <v>0</v>
      </c>
      <c r="M118" s="2" t="s">
        <v>156</v>
      </c>
    </row>
    <row r="119" spans="1:13" ht="39.950000000000003" customHeight="1">
      <c r="A119" s="9">
        <v>89</v>
      </c>
      <c r="B119" s="2" t="s">
        <v>82</v>
      </c>
      <c r="C119" s="2" t="s">
        <v>14</v>
      </c>
      <c r="D119" s="10">
        <v>1</v>
      </c>
      <c r="E119" s="2"/>
      <c r="F119" s="2">
        <v>0</v>
      </c>
      <c r="G119" s="2"/>
      <c r="H119" s="2"/>
      <c r="I119" s="2">
        <v>0</v>
      </c>
      <c r="J119" s="2"/>
      <c r="K119" s="2">
        <v>0</v>
      </c>
      <c r="L119" s="2">
        <v>0</v>
      </c>
      <c r="M119" s="2" t="s">
        <v>157</v>
      </c>
    </row>
    <row r="120" spans="1:13" ht="39.950000000000003" customHeight="1">
      <c r="A120" s="9">
        <v>89</v>
      </c>
      <c r="B120" s="2" t="s">
        <v>82</v>
      </c>
      <c r="C120" s="2" t="s">
        <v>14</v>
      </c>
      <c r="D120" s="10">
        <v>1</v>
      </c>
      <c r="E120" s="2"/>
      <c r="F120" s="2">
        <v>0</v>
      </c>
      <c r="G120" s="2"/>
      <c r="H120" s="2"/>
      <c r="I120" s="2">
        <v>0</v>
      </c>
      <c r="J120" s="2"/>
      <c r="K120" s="2">
        <v>0</v>
      </c>
      <c r="L120" s="2">
        <v>0</v>
      </c>
      <c r="M120" s="2" t="s">
        <v>158</v>
      </c>
    </row>
    <row r="121" spans="1:13" ht="39.950000000000003" customHeight="1">
      <c r="A121" s="9">
        <v>89</v>
      </c>
      <c r="B121" s="2" t="s">
        <v>82</v>
      </c>
      <c r="C121" s="2" t="s">
        <v>14</v>
      </c>
      <c r="D121" s="10">
        <v>1</v>
      </c>
      <c r="E121" s="2"/>
      <c r="F121" s="2">
        <v>0</v>
      </c>
      <c r="G121" s="2"/>
      <c r="H121" s="2"/>
      <c r="I121" s="2">
        <v>0</v>
      </c>
      <c r="J121" s="2"/>
      <c r="K121" s="2">
        <v>0</v>
      </c>
      <c r="L121" s="2">
        <v>0</v>
      </c>
      <c r="M121" s="2" t="s">
        <v>159</v>
      </c>
    </row>
    <row r="122" spans="1:13" ht="39.950000000000003" customHeight="1">
      <c r="A122" s="9">
        <v>90</v>
      </c>
      <c r="B122" s="2" t="s">
        <v>107</v>
      </c>
      <c r="C122" s="2" t="s">
        <v>52</v>
      </c>
      <c r="D122" s="10">
        <v>66</v>
      </c>
      <c r="E122" s="2">
        <v>0</v>
      </c>
      <c r="F122" s="2">
        <v>0</v>
      </c>
      <c r="G122" s="2"/>
      <c r="H122" s="2">
        <v>0</v>
      </c>
      <c r="I122" s="2">
        <v>0</v>
      </c>
      <c r="J122" s="2"/>
      <c r="K122" s="2">
        <v>0</v>
      </c>
      <c r="L122" s="2">
        <v>0</v>
      </c>
      <c r="M122" s="2" t="s">
        <v>160</v>
      </c>
    </row>
    <row r="123" spans="1:13" ht="39.950000000000003" customHeight="1">
      <c r="A123" s="9">
        <v>91</v>
      </c>
      <c r="B123" s="2" t="s">
        <v>30</v>
      </c>
      <c r="C123" s="2" t="s">
        <v>25</v>
      </c>
      <c r="D123" s="10">
        <v>15</v>
      </c>
      <c r="E123" s="2">
        <v>0</v>
      </c>
      <c r="F123" s="2">
        <v>0</v>
      </c>
      <c r="G123" s="2">
        <v>0</v>
      </c>
      <c r="H123" s="2">
        <f>9/15*100</f>
        <v>60</v>
      </c>
      <c r="I123" s="2">
        <v>0</v>
      </c>
      <c r="J123" s="2"/>
      <c r="K123" s="2">
        <v>0</v>
      </c>
      <c r="L123" s="2">
        <f>3/15*100</f>
        <v>20</v>
      </c>
      <c r="M123" s="2" t="s">
        <v>161</v>
      </c>
    </row>
    <row r="124" spans="1:13" ht="39.950000000000003" customHeight="1">
      <c r="A124" s="9">
        <v>92</v>
      </c>
      <c r="B124" s="1" t="s">
        <v>123</v>
      </c>
      <c r="C124" s="1"/>
      <c r="D124" s="9">
        <v>34</v>
      </c>
      <c r="E124" s="1">
        <v>0</v>
      </c>
      <c r="F124" s="1">
        <v>0</v>
      </c>
      <c r="G124" s="1">
        <v>0</v>
      </c>
      <c r="H124" s="1">
        <v>0</v>
      </c>
      <c r="I124" s="1">
        <v>1</v>
      </c>
      <c r="J124" s="1">
        <v>5</v>
      </c>
      <c r="K124" s="1">
        <v>0</v>
      </c>
      <c r="L124" s="1">
        <v>0</v>
      </c>
      <c r="M124" s="1" t="s">
        <v>162</v>
      </c>
    </row>
    <row r="125" spans="1:13" ht="39.950000000000003" customHeight="1">
      <c r="A125" s="9">
        <v>93</v>
      </c>
      <c r="B125" s="2" t="s">
        <v>123</v>
      </c>
      <c r="C125" s="2"/>
      <c r="D125" s="10">
        <v>100</v>
      </c>
      <c r="E125" s="2">
        <v>0</v>
      </c>
      <c r="F125" s="2">
        <v>0</v>
      </c>
      <c r="G125" s="2">
        <v>0</v>
      </c>
      <c r="H125" s="2">
        <v>0</v>
      </c>
      <c r="I125" s="2">
        <v>1</v>
      </c>
      <c r="J125" s="2">
        <v>5</v>
      </c>
      <c r="K125" s="2">
        <v>0</v>
      </c>
      <c r="L125" s="2">
        <v>0</v>
      </c>
      <c r="M125" s="2" t="s">
        <v>162</v>
      </c>
    </row>
    <row r="126" spans="1:13" ht="39.950000000000003" customHeight="1">
      <c r="A126" s="9">
        <v>94</v>
      </c>
      <c r="B126" s="2" t="s">
        <v>123</v>
      </c>
      <c r="C126" s="2" t="s">
        <v>14</v>
      </c>
      <c r="D126" s="10">
        <v>95</v>
      </c>
      <c r="E126" s="2">
        <v>0</v>
      </c>
      <c r="F126" s="2">
        <v>0</v>
      </c>
      <c r="G126" s="2">
        <v>0</v>
      </c>
      <c r="H126" s="2"/>
      <c r="I126" s="2"/>
      <c r="J126" s="2">
        <v>0</v>
      </c>
      <c r="K126" s="2">
        <v>0</v>
      </c>
      <c r="L126" s="2"/>
      <c r="M126" s="2" t="s">
        <v>163</v>
      </c>
    </row>
    <row r="127" spans="1:13" ht="39.950000000000003" customHeight="1">
      <c r="A127" s="9">
        <v>95</v>
      </c>
      <c r="B127" s="2" t="s">
        <v>48</v>
      </c>
      <c r="C127" s="2" t="s">
        <v>25</v>
      </c>
      <c r="D127" s="10">
        <v>33</v>
      </c>
      <c r="E127" s="2">
        <v>6.1</v>
      </c>
      <c r="F127" s="2"/>
      <c r="G127" s="2">
        <v>12.1</v>
      </c>
      <c r="H127" s="2">
        <v>57.5</v>
      </c>
      <c r="I127" s="2">
        <v>12.1</v>
      </c>
      <c r="J127" s="2">
        <v>9.1</v>
      </c>
      <c r="K127" s="2"/>
      <c r="L127" s="2">
        <v>81.8</v>
      </c>
      <c r="M127" s="2" t="s">
        <v>164</v>
      </c>
    </row>
    <row r="128" spans="1:13" ht="39.950000000000003" customHeight="1">
      <c r="A128" s="9">
        <v>96</v>
      </c>
      <c r="B128" s="2" t="s">
        <v>48</v>
      </c>
      <c r="C128" s="2" t="s">
        <v>25</v>
      </c>
      <c r="D128" s="10">
        <v>38</v>
      </c>
      <c r="E128" s="2"/>
      <c r="F128" s="2">
        <v>0</v>
      </c>
      <c r="G128" s="2"/>
      <c r="H128" s="2">
        <v>12.24</v>
      </c>
      <c r="I128" s="2"/>
      <c r="J128" s="2"/>
      <c r="K128" s="2">
        <v>0</v>
      </c>
      <c r="L128" s="2">
        <v>93.88</v>
      </c>
      <c r="M128" s="2" t="s">
        <v>165</v>
      </c>
    </row>
    <row r="129" spans="1:13" ht="39.950000000000003" customHeight="1">
      <c r="A129" s="9">
        <v>97</v>
      </c>
      <c r="B129" s="1" t="s">
        <v>166</v>
      </c>
      <c r="C129" s="1" t="s">
        <v>25</v>
      </c>
      <c r="D129" s="9">
        <v>3</v>
      </c>
      <c r="E129" s="1"/>
      <c r="F129" s="1"/>
      <c r="G129" s="1"/>
      <c r="H129" s="1"/>
      <c r="I129" s="1">
        <v>0</v>
      </c>
      <c r="J129" s="1"/>
      <c r="K129" s="1"/>
      <c r="L129" s="1"/>
      <c r="M129" s="1" t="s">
        <v>167</v>
      </c>
    </row>
    <row r="130" spans="1:13" ht="39.950000000000003" customHeight="1">
      <c r="A130" s="9">
        <v>97</v>
      </c>
      <c r="B130" s="1" t="s">
        <v>166</v>
      </c>
      <c r="C130" s="1" t="s">
        <v>14</v>
      </c>
      <c r="D130" s="9">
        <v>2</v>
      </c>
      <c r="E130" s="1"/>
      <c r="F130" s="1"/>
      <c r="G130" s="1"/>
      <c r="H130" s="1"/>
      <c r="I130" s="1">
        <v>0</v>
      </c>
      <c r="J130" s="1"/>
      <c r="K130" s="1"/>
      <c r="L130" s="1"/>
      <c r="M130" s="1" t="s">
        <v>167</v>
      </c>
    </row>
    <row r="131" spans="1:13" ht="39.950000000000003" customHeight="1">
      <c r="A131" s="9">
        <v>97</v>
      </c>
      <c r="B131" s="1" t="s">
        <v>166</v>
      </c>
      <c r="C131" s="1" t="s">
        <v>52</v>
      </c>
      <c r="D131" s="9">
        <v>4</v>
      </c>
      <c r="E131" s="1"/>
      <c r="F131" s="1"/>
      <c r="G131" s="1"/>
      <c r="H131" s="1"/>
      <c r="I131" s="1">
        <v>0</v>
      </c>
      <c r="J131" s="1"/>
      <c r="K131" s="1"/>
      <c r="L131" s="1"/>
      <c r="M131" s="1" t="s">
        <v>167</v>
      </c>
    </row>
    <row r="132" spans="1:13" ht="39.950000000000003" customHeight="1">
      <c r="A132" s="9">
        <v>97</v>
      </c>
      <c r="B132" s="1" t="s">
        <v>166</v>
      </c>
      <c r="C132" s="1" t="s">
        <v>14</v>
      </c>
      <c r="D132" s="9">
        <v>1</v>
      </c>
      <c r="E132" s="1"/>
      <c r="F132" s="1"/>
      <c r="G132" s="1"/>
      <c r="H132" s="1"/>
      <c r="I132" s="1">
        <v>0</v>
      </c>
      <c r="J132" s="1"/>
      <c r="K132" s="1"/>
      <c r="L132" s="1"/>
      <c r="M132" s="1" t="s">
        <v>168</v>
      </c>
    </row>
    <row r="133" spans="1:13" ht="39.950000000000003" customHeight="1">
      <c r="A133" s="9">
        <v>97</v>
      </c>
      <c r="B133" s="1" t="s">
        <v>166</v>
      </c>
      <c r="C133" s="1" t="s">
        <v>14</v>
      </c>
      <c r="D133" s="9">
        <v>7</v>
      </c>
      <c r="E133" s="1"/>
      <c r="F133" s="1"/>
      <c r="G133" s="1"/>
      <c r="H133" s="1"/>
      <c r="I133" s="1">
        <v>0</v>
      </c>
      <c r="J133" s="1"/>
      <c r="K133" s="1"/>
      <c r="L133" s="1"/>
      <c r="M133" s="1" t="s">
        <v>169</v>
      </c>
    </row>
    <row r="134" spans="1:13" ht="39.950000000000003" customHeight="1">
      <c r="A134" s="9">
        <v>98</v>
      </c>
      <c r="B134" s="2" t="s">
        <v>166</v>
      </c>
      <c r="C134" s="2" t="s">
        <v>25</v>
      </c>
      <c r="D134" s="10">
        <v>8</v>
      </c>
      <c r="E134" s="2"/>
      <c r="F134" s="2">
        <v>0</v>
      </c>
      <c r="G134" s="2">
        <v>0</v>
      </c>
      <c r="H134" s="2">
        <v>0</v>
      </c>
      <c r="I134" s="2">
        <v>0</v>
      </c>
      <c r="J134" s="2"/>
      <c r="K134" s="2">
        <v>0</v>
      </c>
      <c r="L134" s="2">
        <v>0</v>
      </c>
      <c r="M134" s="2" t="s">
        <v>170</v>
      </c>
    </row>
    <row r="135" spans="1:13" ht="39.950000000000003" customHeight="1">
      <c r="A135" s="9">
        <v>98</v>
      </c>
      <c r="B135" s="2" t="s">
        <v>166</v>
      </c>
      <c r="C135" s="2" t="s">
        <v>25</v>
      </c>
      <c r="D135" s="10">
        <v>8</v>
      </c>
      <c r="E135" s="2"/>
      <c r="F135" s="2">
        <v>0</v>
      </c>
      <c r="G135" s="2">
        <v>0</v>
      </c>
      <c r="H135" s="2">
        <v>0</v>
      </c>
      <c r="I135" s="2">
        <v>0</v>
      </c>
      <c r="J135" s="2"/>
      <c r="K135" s="2">
        <v>0</v>
      </c>
      <c r="L135" s="2">
        <f>1/8*100</f>
        <v>12.5</v>
      </c>
      <c r="M135" s="2" t="s">
        <v>170</v>
      </c>
    </row>
    <row r="136" spans="1:13" ht="39.950000000000003" customHeight="1">
      <c r="A136" s="9">
        <v>98</v>
      </c>
      <c r="B136" s="2" t="s">
        <v>166</v>
      </c>
      <c r="C136" s="2" t="s">
        <v>25</v>
      </c>
      <c r="D136" s="10">
        <v>8</v>
      </c>
      <c r="E136" s="2"/>
      <c r="F136" s="2">
        <v>0</v>
      </c>
      <c r="G136" s="2">
        <v>0</v>
      </c>
      <c r="H136" s="2">
        <f>1/8*100</f>
        <v>12.5</v>
      </c>
      <c r="I136" s="2">
        <v>0</v>
      </c>
      <c r="J136" s="2"/>
      <c r="K136" s="2">
        <v>0</v>
      </c>
      <c r="L136" s="2">
        <f>3/8*100</f>
        <v>37.5</v>
      </c>
      <c r="M136" s="2" t="s">
        <v>171</v>
      </c>
    </row>
    <row r="137" spans="1:13" ht="39.950000000000003" customHeight="1">
      <c r="A137" s="9">
        <v>98</v>
      </c>
      <c r="B137" s="2" t="s">
        <v>166</v>
      </c>
      <c r="C137" s="2" t="s">
        <v>25</v>
      </c>
      <c r="D137" s="10">
        <v>8</v>
      </c>
      <c r="E137" s="2"/>
      <c r="F137" s="2">
        <v>0</v>
      </c>
      <c r="G137" s="2">
        <v>0</v>
      </c>
      <c r="H137" s="2">
        <f>4/8*100</f>
        <v>50</v>
      </c>
      <c r="I137" s="2">
        <v>0</v>
      </c>
      <c r="J137" s="2"/>
      <c r="K137" s="2">
        <v>0</v>
      </c>
      <c r="L137" s="2">
        <f>5/8*100</f>
        <v>62.5</v>
      </c>
      <c r="M137" s="2" t="s">
        <v>171</v>
      </c>
    </row>
    <row r="138" spans="1:13" ht="39.950000000000003" customHeight="1">
      <c r="A138" s="9">
        <v>99</v>
      </c>
      <c r="B138" s="2" t="s">
        <v>166</v>
      </c>
      <c r="C138" s="2" t="s">
        <v>14</v>
      </c>
      <c r="D138" s="10">
        <v>327</v>
      </c>
      <c r="E138" s="2">
        <f>9/327*100</f>
        <v>2.7522935779816518</v>
      </c>
      <c r="F138" s="2">
        <v>0</v>
      </c>
      <c r="G138" s="2">
        <f>2/327*100</f>
        <v>0.6116207951070336</v>
      </c>
      <c r="H138" s="2">
        <f>17/327*100</f>
        <v>5.1987767584097861</v>
      </c>
      <c r="I138" s="2">
        <f>1/327*100</f>
        <v>0.3058103975535168</v>
      </c>
      <c r="J138" s="2">
        <f>8/327*100</f>
        <v>2.4464831804281344</v>
      </c>
      <c r="K138" s="2">
        <f>1/327*100</f>
        <v>0.3058103975535168</v>
      </c>
      <c r="L138" s="2">
        <v>12.5</v>
      </c>
      <c r="M138" s="2" t="s">
        <v>172</v>
      </c>
    </row>
    <row r="139" spans="1:13" ht="39.950000000000003" customHeight="1">
      <c r="A139" s="9">
        <v>100</v>
      </c>
      <c r="B139" s="2" t="s">
        <v>166</v>
      </c>
      <c r="C139" s="2"/>
      <c r="D139" s="10">
        <v>46</v>
      </c>
      <c r="E139" s="2"/>
      <c r="F139" s="2">
        <f>7/46*100</f>
        <v>15.217391304347828</v>
      </c>
      <c r="G139" s="2"/>
      <c r="H139" s="2">
        <v>0</v>
      </c>
      <c r="I139" s="2">
        <v>0</v>
      </c>
      <c r="J139" s="2"/>
      <c r="K139" s="2">
        <v>0</v>
      </c>
      <c r="L139" s="2">
        <f>13/46*100</f>
        <v>28.260869565217391</v>
      </c>
      <c r="M139" s="2" t="s">
        <v>173</v>
      </c>
    </row>
    <row r="140" spans="1:13" ht="39.950000000000003" customHeight="1">
      <c r="A140" s="9">
        <v>101</v>
      </c>
      <c r="B140" s="2" t="s">
        <v>166</v>
      </c>
      <c r="C140" s="2" t="s">
        <v>14</v>
      </c>
      <c r="D140" s="10">
        <v>150</v>
      </c>
      <c r="E140" s="2"/>
      <c r="F140" s="2">
        <v>0</v>
      </c>
      <c r="G140" s="2"/>
      <c r="H140" s="2">
        <v>0</v>
      </c>
      <c r="I140" s="2">
        <v>2.7</v>
      </c>
      <c r="J140" s="2"/>
      <c r="K140" s="2">
        <v>1.4</v>
      </c>
      <c r="L140" s="2">
        <v>0.7</v>
      </c>
      <c r="M140" s="2" t="s">
        <v>174</v>
      </c>
    </row>
    <row r="141" spans="1:13" ht="39.950000000000003" customHeight="1">
      <c r="A141" s="9">
        <v>102</v>
      </c>
      <c r="B141" s="1" t="s">
        <v>166</v>
      </c>
      <c r="C141" s="1" t="s">
        <v>14</v>
      </c>
      <c r="D141" s="9">
        <v>195</v>
      </c>
      <c r="E141" s="2"/>
      <c r="F141" s="2">
        <v>0</v>
      </c>
      <c r="G141" s="2"/>
      <c r="H141" s="2">
        <v>0</v>
      </c>
      <c r="I141" s="2"/>
      <c r="J141" s="2"/>
      <c r="K141" s="2"/>
      <c r="L141" s="2">
        <f>31.79+26.67</f>
        <v>58.46</v>
      </c>
      <c r="M141" s="2" t="s">
        <v>175</v>
      </c>
    </row>
    <row r="142" spans="1:13" ht="39.950000000000003" customHeight="1">
      <c r="A142" s="9">
        <v>103</v>
      </c>
      <c r="B142" s="2" t="s">
        <v>166</v>
      </c>
      <c r="C142" s="2" t="s">
        <v>14</v>
      </c>
      <c r="D142" s="10">
        <v>187</v>
      </c>
      <c r="E142" s="2">
        <v>5.9</v>
      </c>
      <c r="F142" s="2">
        <v>0</v>
      </c>
      <c r="G142" s="2">
        <v>3.3</v>
      </c>
      <c r="H142" s="2">
        <v>12.6</v>
      </c>
      <c r="I142" s="2">
        <f>1/185*100</f>
        <v>0.54054054054054057</v>
      </c>
      <c r="J142" s="2">
        <v>0</v>
      </c>
      <c r="K142" s="2">
        <v>0</v>
      </c>
      <c r="L142" s="2">
        <v>42.7</v>
      </c>
      <c r="M142" s="2" t="s">
        <v>176</v>
      </c>
    </row>
    <row r="143" spans="1:13" ht="39.950000000000003" customHeight="1">
      <c r="A143" s="9">
        <v>104</v>
      </c>
      <c r="B143" s="2" t="s">
        <v>166</v>
      </c>
      <c r="C143" s="2"/>
      <c r="D143" s="10">
        <v>55</v>
      </c>
      <c r="E143" s="2"/>
      <c r="F143" s="2">
        <v>0</v>
      </c>
      <c r="G143" s="2"/>
      <c r="H143" s="2">
        <v>0</v>
      </c>
      <c r="I143" s="2">
        <v>0</v>
      </c>
      <c r="J143" s="2"/>
      <c r="K143" s="2">
        <v>0</v>
      </c>
      <c r="L143" s="2">
        <v>0</v>
      </c>
      <c r="M143" s="2" t="s">
        <v>177</v>
      </c>
    </row>
    <row r="144" spans="1:13" ht="39.950000000000003" customHeight="1">
      <c r="A144" s="9">
        <v>105</v>
      </c>
      <c r="B144" s="2" t="s">
        <v>46</v>
      </c>
      <c r="C144" s="2" t="s">
        <v>62</v>
      </c>
      <c r="D144" s="10">
        <v>180</v>
      </c>
      <c r="E144" s="2">
        <v>0</v>
      </c>
      <c r="F144" s="2"/>
      <c r="G144" s="2">
        <v>0</v>
      </c>
      <c r="H144" s="2"/>
      <c r="I144" s="2">
        <v>0</v>
      </c>
      <c r="J144" s="2">
        <v>0.56000000000000005</v>
      </c>
      <c r="K144" s="2"/>
      <c r="L144" s="2"/>
      <c r="M144" s="2" t="s">
        <v>178</v>
      </c>
    </row>
    <row r="145" spans="1:13" ht="39.950000000000003" customHeight="1">
      <c r="A145" s="9">
        <v>106</v>
      </c>
      <c r="B145" s="2" t="s">
        <v>16</v>
      </c>
      <c r="C145" s="2" t="s">
        <v>36</v>
      </c>
      <c r="D145" s="10">
        <v>17</v>
      </c>
      <c r="E145" s="2">
        <v>0</v>
      </c>
      <c r="F145" s="2">
        <v>100</v>
      </c>
      <c r="G145" s="2">
        <v>58.823529411764703</v>
      </c>
      <c r="H145" s="2">
        <v>100</v>
      </c>
      <c r="I145" s="2">
        <v>5.8823529411764701</v>
      </c>
      <c r="J145" s="2">
        <v>0</v>
      </c>
      <c r="K145" s="2">
        <v>0</v>
      </c>
      <c r="L145" s="2">
        <v>11.76470588235294</v>
      </c>
      <c r="M145" s="2" t="s">
        <v>179</v>
      </c>
    </row>
    <row r="146" spans="1:13" ht="39.950000000000003" customHeight="1">
      <c r="A146" s="9">
        <v>107</v>
      </c>
      <c r="B146" s="2" t="s">
        <v>82</v>
      </c>
      <c r="C146" s="2" t="s">
        <v>14</v>
      </c>
      <c r="D146" s="10">
        <v>38</v>
      </c>
      <c r="E146" s="2"/>
      <c r="F146" s="2">
        <v>2.392344497607656</v>
      </c>
      <c r="G146" s="2"/>
      <c r="H146" s="2">
        <v>35.885167464114829</v>
      </c>
      <c r="I146" s="2"/>
      <c r="J146" s="2"/>
      <c r="K146" s="2">
        <v>4.784688995215312</v>
      </c>
      <c r="L146" s="2"/>
      <c r="M146" s="2" t="s">
        <v>180</v>
      </c>
    </row>
    <row r="147" spans="1:13" ht="39.950000000000003" customHeight="1">
      <c r="A147" s="9">
        <v>108</v>
      </c>
      <c r="B147" s="2" t="s">
        <v>82</v>
      </c>
      <c r="C147" s="2" t="s">
        <v>14</v>
      </c>
      <c r="D147" s="10">
        <v>70</v>
      </c>
      <c r="E147" s="2">
        <v>0</v>
      </c>
      <c r="F147" s="2">
        <v>0</v>
      </c>
      <c r="G147" s="2"/>
      <c r="H147" s="2">
        <v>0</v>
      </c>
      <c r="I147" s="2">
        <v>0</v>
      </c>
      <c r="J147" s="2"/>
      <c r="K147" s="2">
        <v>0</v>
      </c>
      <c r="L147" s="2">
        <v>0</v>
      </c>
      <c r="M147" s="2" t="s">
        <v>181</v>
      </c>
    </row>
    <row r="148" spans="1:13" ht="39.950000000000003" customHeight="1">
      <c r="A148" s="9">
        <v>109</v>
      </c>
      <c r="B148" s="2" t="s">
        <v>82</v>
      </c>
      <c r="C148" s="2"/>
      <c r="D148" s="10">
        <v>30</v>
      </c>
      <c r="E148" s="2"/>
      <c r="F148" s="2">
        <v>0</v>
      </c>
      <c r="G148" s="2"/>
      <c r="H148" s="2">
        <v>0</v>
      </c>
      <c r="I148" s="2">
        <v>0</v>
      </c>
      <c r="J148" s="2"/>
      <c r="K148" s="2">
        <v>0</v>
      </c>
      <c r="L148" s="2">
        <v>0</v>
      </c>
      <c r="M148" s="2" t="s">
        <v>182</v>
      </c>
    </row>
    <row r="149" spans="1:13" ht="39.950000000000003" customHeight="1">
      <c r="A149" s="9">
        <v>109</v>
      </c>
      <c r="B149" s="2" t="s">
        <v>82</v>
      </c>
      <c r="C149" s="2"/>
      <c r="D149" s="10">
        <v>72</v>
      </c>
      <c r="E149" s="2"/>
      <c r="F149" s="2">
        <v>0</v>
      </c>
      <c r="G149" s="2"/>
      <c r="H149" s="2">
        <v>0</v>
      </c>
      <c r="I149" s="2">
        <v>0</v>
      </c>
      <c r="J149" s="2"/>
      <c r="K149" s="2">
        <v>0</v>
      </c>
      <c r="L149" s="2">
        <v>0</v>
      </c>
      <c r="M149" s="2" t="s">
        <v>183</v>
      </c>
    </row>
    <row r="150" spans="1:13" ht="39.950000000000003" customHeight="1">
      <c r="A150" s="9">
        <v>109</v>
      </c>
      <c r="B150" s="2" t="s">
        <v>82</v>
      </c>
      <c r="C150" s="2"/>
      <c r="D150" s="10">
        <v>34</v>
      </c>
      <c r="E150" s="2"/>
      <c r="F150" s="2">
        <v>0</v>
      </c>
      <c r="G150" s="2"/>
      <c r="H150" s="2">
        <v>0</v>
      </c>
      <c r="I150" s="2">
        <v>0</v>
      </c>
      <c r="J150" s="2"/>
      <c r="K150" s="2">
        <v>0</v>
      </c>
      <c r="L150" s="2">
        <v>0</v>
      </c>
      <c r="M150" s="2" t="s">
        <v>184</v>
      </c>
    </row>
    <row r="151" spans="1:13" ht="39.950000000000003" customHeight="1">
      <c r="A151" s="9">
        <v>109</v>
      </c>
      <c r="B151" s="2" t="s">
        <v>82</v>
      </c>
      <c r="C151" s="2"/>
      <c r="D151" s="10">
        <v>3</v>
      </c>
      <c r="E151" s="2"/>
      <c r="F151" s="2">
        <v>0</v>
      </c>
      <c r="G151" s="2"/>
      <c r="H151" s="2">
        <v>0</v>
      </c>
      <c r="I151" s="2">
        <v>0</v>
      </c>
      <c r="J151" s="2"/>
      <c r="K151" s="2">
        <v>0</v>
      </c>
      <c r="L151" s="2">
        <v>0</v>
      </c>
      <c r="M151" s="2" t="s">
        <v>185</v>
      </c>
    </row>
    <row r="152" spans="1:13" ht="39.950000000000003" customHeight="1">
      <c r="A152" s="9">
        <v>109</v>
      </c>
      <c r="B152" s="2" t="s">
        <v>82</v>
      </c>
      <c r="C152" s="2"/>
      <c r="D152" s="10">
        <v>4</v>
      </c>
      <c r="E152" s="2"/>
      <c r="F152" s="2">
        <v>0</v>
      </c>
      <c r="G152" s="2"/>
      <c r="H152" s="2">
        <v>0</v>
      </c>
      <c r="I152" s="2">
        <v>0</v>
      </c>
      <c r="J152" s="2"/>
      <c r="K152" s="2">
        <v>0</v>
      </c>
      <c r="L152" s="2">
        <v>0</v>
      </c>
      <c r="M152" s="2" t="s">
        <v>186</v>
      </c>
    </row>
    <row r="153" spans="1:13" ht="39.950000000000003" customHeight="1">
      <c r="A153" s="9">
        <v>109</v>
      </c>
      <c r="B153" s="2" t="s">
        <v>82</v>
      </c>
      <c r="C153" s="2"/>
      <c r="D153" s="10">
        <v>4</v>
      </c>
      <c r="E153" s="2"/>
      <c r="F153" s="2">
        <v>0</v>
      </c>
      <c r="G153" s="2"/>
      <c r="H153" s="2">
        <v>0</v>
      </c>
      <c r="I153" s="2">
        <v>0</v>
      </c>
      <c r="J153" s="2"/>
      <c r="K153" s="2">
        <v>0</v>
      </c>
      <c r="L153" s="2">
        <v>0</v>
      </c>
      <c r="M153" s="2" t="s">
        <v>187</v>
      </c>
    </row>
    <row r="154" spans="1:13" ht="39.950000000000003" customHeight="1">
      <c r="A154" s="9">
        <v>110</v>
      </c>
      <c r="B154" s="2" t="s">
        <v>82</v>
      </c>
      <c r="C154" s="2" t="s">
        <v>14</v>
      </c>
      <c r="D154" s="10">
        <v>428</v>
      </c>
      <c r="E154" s="2">
        <v>0</v>
      </c>
      <c r="F154" s="2">
        <v>0</v>
      </c>
      <c r="G154" s="2">
        <v>0</v>
      </c>
      <c r="H154" s="2">
        <v>0.18</v>
      </c>
      <c r="I154" s="2">
        <v>0.57999999999999996</v>
      </c>
      <c r="J154" s="2">
        <v>1.18</v>
      </c>
      <c r="K154" s="2">
        <v>0.43</v>
      </c>
      <c r="L154" s="2">
        <v>0</v>
      </c>
      <c r="M154" s="2" t="s">
        <v>188</v>
      </c>
    </row>
    <row r="155" spans="1:13" ht="39.950000000000003" customHeight="1">
      <c r="A155" s="9">
        <v>111</v>
      </c>
      <c r="B155" s="2" t="s">
        <v>82</v>
      </c>
      <c r="C155" s="2" t="s">
        <v>14</v>
      </c>
      <c r="D155" s="10">
        <v>45</v>
      </c>
      <c r="E155" s="2">
        <v>0</v>
      </c>
      <c r="F155" s="2">
        <v>0</v>
      </c>
      <c r="G155" s="2"/>
      <c r="H155" s="2">
        <v>0</v>
      </c>
      <c r="I155" s="2">
        <v>0</v>
      </c>
      <c r="J155" s="2"/>
      <c r="K155" s="2"/>
      <c r="L155" s="2">
        <v>0</v>
      </c>
      <c r="M155" s="2" t="s">
        <v>189</v>
      </c>
    </row>
    <row r="156" spans="1:13" ht="39.950000000000003" customHeight="1">
      <c r="A156" s="9">
        <v>112</v>
      </c>
      <c r="B156" s="2" t="s">
        <v>82</v>
      </c>
      <c r="C156" s="2" t="s">
        <v>14</v>
      </c>
      <c r="D156" s="10">
        <v>175</v>
      </c>
      <c r="E156" s="2">
        <v>0</v>
      </c>
      <c r="F156" s="2">
        <v>0</v>
      </c>
      <c r="G156" s="2"/>
      <c r="H156" s="2">
        <v>0</v>
      </c>
      <c r="I156" s="2">
        <v>0</v>
      </c>
      <c r="J156" s="2"/>
      <c r="K156" s="2">
        <v>0</v>
      </c>
      <c r="L156" s="2">
        <v>0</v>
      </c>
      <c r="M156" s="2" t="s">
        <v>190</v>
      </c>
    </row>
    <row r="157" spans="1:13" ht="39.950000000000003" customHeight="1">
      <c r="A157" s="9">
        <v>113</v>
      </c>
      <c r="B157" s="2" t="s">
        <v>90</v>
      </c>
      <c r="C157" s="2" t="s">
        <v>191</v>
      </c>
      <c r="D157" s="10">
        <v>3</v>
      </c>
      <c r="E157" s="2">
        <v>75</v>
      </c>
      <c r="F157" s="2">
        <v>50</v>
      </c>
      <c r="G157" s="2">
        <v>0</v>
      </c>
      <c r="H157" s="2">
        <v>100</v>
      </c>
      <c r="I157" s="2"/>
      <c r="J157" s="2"/>
      <c r="K157" s="2"/>
      <c r="L157" s="2"/>
      <c r="M157" s="2" t="s">
        <v>192</v>
      </c>
    </row>
    <row r="158" spans="1:13" ht="39.950000000000003" customHeight="1">
      <c r="A158" s="9">
        <v>113</v>
      </c>
      <c r="B158" s="2" t="s">
        <v>90</v>
      </c>
      <c r="C158" s="2" t="s">
        <v>191</v>
      </c>
      <c r="D158" s="10">
        <v>3</v>
      </c>
      <c r="E158" s="2">
        <v>100</v>
      </c>
      <c r="F158" s="2">
        <v>0</v>
      </c>
      <c r="G158" s="2">
        <v>50</v>
      </c>
      <c r="H158" s="2">
        <v>100</v>
      </c>
      <c r="I158" s="2"/>
      <c r="J158" s="2"/>
      <c r="K158" s="2"/>
      <c r="L158" s="2"/>
      <c r="M158" s="2" t="s">
        <v>193</v>
      </c>
    </row>
    <row r="159" spans="1:13" ht="39.950000000000003" customHeight="1">
      <c r="A159" s="9">
        <v>113</v>
      </c>
      <c r="B159" s="2" t="s">
        <v>90</v>
      </c>
      <c r="C159" s="2" t="s">
        <v>191</v>
      </c>
      <c r="D159" s="10">
        <v>3</v>
      </c>
      <c r="E159" s="2">
        <v>100</v>
      </c>
      <c r="F159" s="2">
        <v>0</v>
      </c>
      <c r="G159" s="2">
        <v>50</v>
      </c>
      <c r="H159" s="2">
        <v>100</v>
      </c>
      <c r="I159" s="2"/>
      <c r="J159" s="2"/>
      <c r="K159" s="2"/>
      <c r="L159" s="2"/>
      <c r="M159" s="2" t="s">
        <v>194</v>
      </c>
    </row>
    <row r="160" spans="1:13" ht="39.950000000000003" customHeight="1">
      <c r="A160" s="9">
        <v>113</v>
      </c>
      <c r="B160" s="2" t="s">
        <v>90</v>
      </c>
      <c r="C160" s="2" t="s">
        <v>191</v>
      </c>
      <c r="D160" s="10">
        <v>3</v>
      </c>
      <c r="E160" s="2">
        <v>100</v>
      </c>
      <c r="F160" s="2">
        <v>50</v>
      </c>
      <c r="G160" s="2">
        <v>50</v>
      </c>
      <c r="H160" s="2">
        <v>100</v>
      </c>
      <c r="I160" s="2"/>
      <c r="J160" s="2"/>
      <c r="K160" s="2"/>
      <c r="L160" s="2"/>
      <c r="M160" s="2" t="s">
        <v>195</v>
      </c>
    </row>
    <row r="161" spans="1:13" ht="39.950000000000003" customHeight="1">
      <c r="A161" s="9">
        <v>114</v>
      </c>
      <c r="B161" s="1" t="s">
        <v>61</v>
      </c>
      <c r="C161" s="1" t="s">
        <v>196</v>
      </c>
      <c r="D161" s="9">
        <v>34</v>
      </c>
      <c r="E161" s="1"/>
      <c r="F161" s="1"/>
      <c r="G161" s="1"/>
      <c r="H161" s="1"/>
      <c r="I161" s="1">
        <v>100</v>
      </c>
      <c r="J161" s="1"/>
      <c r="K161" s="1"/>
      <c r="L161" s="1"/>
      <c r="M161" s="1" t="s">
        <v>197</v>
      </c>
    </row>
    <row r="162" spans="1:13" ht="39.950000000000003" customHeight="1">
      <c r="A162" s="9">
        <v>115</v>
      </c>
      <c r="B162" s="2" t="s">
        <v>18</v>
      </c>
      <c r="C162" s="2" t="s">
        <v>14</v>
      </c>
      <c r="D162" s="10">
        <v>50</v>
      </c>
      <c r="E162" s="2">
        <v>0</v>
      </c>
      <c r="F162" s="2">
        <v>0</v>
      </c>
      <c r="G162" s="2"/>
      <c r="H162" s="2">
        <v>0</v>
      </c>
      <c r="I162" s="2">
        <v>0</v>
      </c>
      <c r="J162" s="2"/>
      <c r="K162" s="2">
        <v>0</v>
      </c>
      <c r="L162" s="2">
        <v>0</v>
      </c>
      <c r="M162" s="2" t="s">
        <v>198</v>
      </c>
    </row>
    <row r="163" spans="1:13" ht="39.950000000000003" customHeight="1">
      <c r="A163" s="9">
        <v>116</v>
      </c>
      <c r="B163" s="2" t="s">
        <v>82</v>
      </c>
      <c r="C163" s="2" t="s">
        <v>14</v>
      </c>
      <c r="D163" s="10">
        <v>32</v>
      </c>
      <c r="E163" s="2"/>
      <c r="F163" s="2">
        <v>0</v>
      </c>
      <c r="G163" s="2"/>
      <c r="H163" s="2">
        <v>0</v>
      </c>
      <c r="I163" s="2">
        <v>0</v>
      </c>
      <c r="J163" s="2"/>
      <c r="K163" s="2">
        <v>0</v>
      </c>
      <c r="L163" s="2">
        <v>0</v>
      </c>
      <c r="M163" s="2" t="s">
        <v>199</v>
      </c>
    </row>
    <row r="164" spans="1:13" ht="39.950000000000003" customHeight="1">
      <c r="A164" s="9">
        <v>116</v>
      </c>
      <c r="B164" s="2" t="s">
        <v>82</v>
      </c>
      <c r="C164" s="2" t="s">
        <v>14</v>
      </c>
      <c r="D164" s="10">
        <v>5</v>
      </c>
      <c r="E164" s="2"/>
      <c r="F164" s="2">
        <v>0</v>
      </c>
      <c r="G164" s="2"/>
      <c r="H164" s="2">
        <v>0</v>
      </c>
      <c r="I164" s="2">
        <v>0</v>
      </c>
      <c r="J164" s="2"/>
      <c r="K164" s="2">
        <f>20</f>
        <v>20</v>
      </c>
      <c r="L164" s="2">
        <v>0</v>
      </c>
      <c r="M164" s="2" t="s">
        <v>200</v>
      </c>
    </row>
    <row r="165" spans="1:13" ht="39.950000000000003" customHeight="1">
      <c r="A165" s="9">
        <v>117</v>
      </c>
      <c r="B165" s="2" t="s">
        <v>201</v>
      </c>
      <c r="C165" s="2" t="s">
        <v>52</v>
      </c>
      <c r="D165" s="10">
        <v>3</v>
      </c>
      <c r="E165" s="2">
        <v>0</v>
      </c>
      <c r="F165" s="2">
        <v>0</v>
      </c>
      <c r="G165" s="2">
        <v>0</v>
      </c>
      <c r="H165" s="2">
        <v>0</v>
      </c>
      <c r="I165" s="2">
        <v>0</v>
      </c>
      <c r="J165" s="2"/>
      <c r="K165" s="2">
        <v>0</v>
      </c>
      <c r="L165" s="2">
        <v>0</v>
      </c>
      <c r="M165" s="2" t="s">
        <v>202</v>
      </c>
    </row>
    <row r="166" spans="1:13" ht="39.950000000000003" customHeight="1">
      <c r="A166" s="9">
        <v>117</v>
      </c>
      <c r="B166" s="2" t="s">
        <v>201</v>
      </c>
      <c r="C166" s="2" t="s">
        <v>52</v>
      </c>
      <c r="D166" s="10">
        <v>3</v>
      </c>
      <c r="E166" s="2">
        <v>0</v>
      </c>
      <c r="F166" s="2">
        <v>0</v>
      </c>
      <c r="G166" s="2">
        <v>0</v>
      </c>
      <c r="H166" s="2">
        <v>0</v>
      </c>
      <c r="I166" s="2">
        <v>0</v>
      </c>
      <c r="J166" s="2"/>
      <c r="K166" s="2">
        <v>0</v>
      </c>
      <c r="L166" s="2">
        <v>0</v>
      </c>
      <c r="M166" s="2" t="s">
        <v>203</v>
      </c>
    </row>
    <row r="167" spans="1:13" ht="39.950000000000003" customHeight="1">
      <c r="A167" s="9">
        <v>117</v>
      </c>
      <c r="B167" s="2" t="s">
        <v>201</v>
      </c>
      <c r="C167" s="2" t="s">
        <v>52</v>
      </c>
      <c r="D167" s="10">
        <v>3</v>
      </c>
      <c r="E167" s="2">
        <v>0</v>
      </c>
      <c r="F167" s="2">
        <v>0</v>
      </c>
      <c r="G167" s="2">
        <v>0</v>
      </c>
      <c r="H167" s="2">
        <v>0</v>
      </c>
      <c r="I167" s="2">
        <v>0</v>
      </c>
      <c r="J167" s="2"/>
      <c r="K167" s="2">
        <v>0</v>
      </c>
      <c r="L167" s="2">
        <v>0</v>
      </c>
      <c r="M167" s="2" t="s">
        <v>204</v>
      </c>
    </row>
    <row r="168" spans="1:13" ht="39.950000000000003" customHeight="1">
      <c r="A168" s="9">
        <v>117</v>
      </c>
      <c r="B168" s="2" t="s">
        <v>201</v>
      </c>
      <c r="C168" s="2" t="s">
        <v>52</v>
      </c>
      <c r="D168" s="10">
        <v>3</v>
      </c>
      <c r="E168" s="2">
        <v>0</v>
      </c>
      <c r="F168" s="2">
        <v>0</v>
      </c>
      <c r="G168" s="2">
        <v>0</v>
      </c>
      <c r="H168" s="2">
        <v>0</v>
      </c>
      <c r="I168" s="2">
        <v>0</v>
      </c>
      <c r="J168" s="2"/>
      <c r="K168" s="2">
        <v>0</v>
      </c>
      <c r="L168" s="2">
        <v>0</v>
      </c>
      <c r="M168" s="2" t="s">
        <v>205</v>
      </c>
    </row>
    <row r="169" spans="1:13" ht="39.950000000000003" customHeight="1">
      <c r="A169" s="9">
        <v>118</v>
      </c>
      <c r="B169" s="2" t="s">
        <v>20</v>
      </c>
      <c r="C169" s="2" t="s">
        <v>70</v>
      </c>
      <c r="D169" s="10">
        <v>4</v>
      </c>
      <c r="E169" s="2"/>
      <c r="F169" s="2">
        <v>0</v>
      </c>
      <c r="G169" s="2"/>
      <c r="H169" s="2">
        <v>0</v>
      </c>
      <c r="I169" s="2">
        <v>0</v>
      </c>
      <c r="J169" s="2"/>
      <c r="K169" s="2">
        <v>0</v>
      </c>
      <c r="L169" s="2"/>
      <c r="M169" s="2" t="s">
        <v>206</v>
      </c>
    </row>
    <row r="170" spans="1:13" ht="39.950000000000003" customHeight="1">
      <c r="A170" s="9">
        <v>118</v>
      </c>
      <c r="B170" s="2" t="s">
        <v>20</v>
      </c>
      <c r="C170" s="2" t="s">
        <v>70</v>
      </c>
      <c r="D170" s="10">
        <v>4</v>
      </c>
      <c r="E170" s="2"/>
      <c r="F170" s="2">
        <v>0</v>
      </c>
      <c r="G170" s="2"/>
      <c r="H170" s="2">
        <v>0</v>
      </c>
      <c r="I170" s="2">
        <v>0</v>
      </c>
      <c r="J170" s="2"/>
      <c r="K170" s="2">
        <v>0</v>
      </c>
      <c r="L170" s="2"/>
      <c r="M170" s="2" t="s">
        <v>207</v>
      </c>
    </row>
    <row r="171" spans="1:13" ht="39.950000000000003" customHeight="1">
      <c r="A171" s="9">
        <v>118</v>
      </c>
      <c r="B171" s="2" t="s">
        <v>20</v>
      </c>
      <c r="C171" s="2" t="s">
        <v>70</v>
      </c>
      <c r="D171" s="10">
        <v>6</v>
      </c>
      <c r="E171" s="2"/>
      <c r="F171" s="2">
        <v>0</v>
      </c>
      <c r="G171" s="2"/>
      <c r="H171" s="2">
        <v>0</v>
      </c>
      <c r="I171" s="2">
        <v>0</v>
      </c>
      <c r="J171" s="2"/>
      <c r="K171" s="2">
        <v>0</v>
      </c>
      <c r="L171" s="2"/>
      <c r="M171" s="2" t="s">
        <v>208</v>
      </c>
    </row>
    <row r="172" spans="1:13" ht="39.950000000000003" customHeight="1">
      <c r="A172" s="9">
        <v>119</v>
      </c>
      <c r="B172" s="2" t="s">
        <v>16</v>
      </c>
      <c r="C172" s="2"/>
      <c r="D172" s="10">
        <v>194</v>
      </c>
      <c r="E172" s="2">
        <v>0</v>
      </c>
      <c r="F172" s="2">
        <v>0</v>
      </c>
      <c r="G172" s="2">
        <v>0</v>
      </c>
      <c r="H172" s="2">
        <v>13.4</v>
      </c>
      <c r="I172" s="2">
        <v>0</v>
      </c>
      <c r="J172" s="2">
        <v>0</v>
      </c>
      <c r="K172" s="2">
        <v>0</v>
      </c>
      <c r="L172" s="2">
        <v>1.5</v>
      </c>
      <c r="M172" s="2" t="s">
        <v>209</v>
      </c>
    </row>
    <row r="173" spans="1:13" ht="39.950000000000003" customHeight="1">
      <c r="A173" s="9">
        <v>120</v>
      </c>
      <c r="B173" s="2" t="s">
        <v>48</v>
      </c>
      <c r="C173" s="2" t="s">
        <v>14</v>
      </c>
      <c r="D173" s="10">
        <v>578</v>
      </c>
      <c r="E173" s="2">
        <v>10.029999999999999</v>
      </c>
      <c r="F173" s="2">
        <v>0</v>
      </c>
      <c r="G173" s="2">
        <v>0.69</v>
      </c>
      <c r="H173" s="2">
        <v>11.07</v>
      </c>
      <c r="I173" s="2">
        <v>1.73</v>
      </c>
      <c r="J173" s="2">
        <v>22.32</v>
      </c>
      <c r="K173" s="2">
        <v>3.81</v>
      </c>
      <c r="L173" s="2">
        <v>13.49</v>
      </c>
      <c r="M173" s="2" t="s">
        <v>210</v>
      </c>
    </row>
    <row r="174" spans="1:13" ht="39.950000000000003" customHeight="1">
      <c r="A174" s="9">
        <v>121</v>
      </c>
      <c r="B174" s="2" t="s">
        <v>48</v>
      </c>
      <c r="C174" s="2" t="s">
        <v>14</v>
      </c>
      <c r="D174" s="10">
        <v>156</v>
      </c>
      <c r="E174" s="2"/>
      <c r="F174" s="2">
        <v>0</v>
      </c>
      <c r="G174" s="2"/>
      <c r="H174" s="2">
        <v>9.6199999999999992</v>
      </c>
      <c r="I174" s="2">
        <v>0.64</v>
      </c>
      <c r="J174" s="2"/>
      <c r="K174" s="2">
        <v>0.64</v>
      </c>
      <c r="L174" s="2">
        <v>3.85</v>
      </c>
      <c r="M174" s="2" t="s">
        <v>211</v>
      </c>
    </row>
    <row r="175" spans="1:13" ht="39.950000000000003" customHeight="1">
      <c r="A175" s="9">
        <v>122</v>
      </c>
      <c r="B175" s="2" t="s">
        <v>48</v>
      </c>
      <c r="C175" s="2"/>
      <c r="D175" s="10">
        <v>62</v>
      </c>
      <c r="E175" s="2">
        <v>1.6</v>
      </c>
      <c r="F175" s="2">
        <v>0</v>
      </c>
      <c r="G175" s="2">
        <v>9.1</v>
      </c>
      <c r="H175" s="2">
        <v>21</v>
      </c>
      <c r="I175" s="2">
        <v>25.8</v>
      </c>
      <c r="J175" s="2">
        <v>11.3</v>
      </c>
      <c r="K175" s="2">
        <v>0</v>
      </c>
      <c r="L175" s="2">
        <v>6.5</v>
      </c>
      <c r="M175" s="2" t="s">
        <v>212</v>
      </c>
    </row>
    <row r="176" spans="1:13" ht="39.950000000000003" customHeight="1">
      <c r="A176" s="9">
        <v>123</v>
      </c>
      <c r="B176" s="2" t="s">
        <v>213</v>
      </c>
      <c r="C176" s="2" t="s">
        <v>14</v>
      </c>
      <c r="D176" s="10">
        <v>1574</v>
      </c>
      <c r="E176" s="2">
        <v>1.21</v>
      </c>
      <c r="F176" s="2">
        <v>0.25</v>
      </c>
      <c r="G176" s="2">
        <v>2.48</v>
      </c>
      <c r="H176" s="2">
        <v>24.71</v>
      </c>
      <c r="I176" s="2">
        <v>3.68</v>
      </c>
      <c r="J176" s="2">
        <v>7.31</v>
      </c>
      <c r="K176" s="2">
        <v>0.25</v>
      </c>
      <c r="L176" s="2">
        <v>8.6999999999999993</v>
      </c>
      <c r="M176" s="2" t="s">
        <v>214</v>
      </c>
    </row>
    <row r="177" spans="1:13" ht="39.950000000000003" customHeight="1">
      <c r="A177" s="9">
        <v>123</v>
      </c>
      <c r="B177" s="2" t="s">
        <v>213</v>
      </c>
      <c r="C177" s="2" t="s">
        <v>14</v>
      </c>
      <c r="D177" s="10">
        <v>336</v>
      </c>
      <c r="E177" s="2">
        <v>4.46</v>
      </c>
      <c r="F177" s="2">
        <v>0.3</v>
      </c>
      <c r="G177" s="2">
        <v>16.670000000000002</v>
      </c>
      <c r="H177" s="2">
        <v>44.05</v>
      </c>
      <c r="I177" s="2">
        <v>22.92</v>
      </c>
      <c r="J177" s="2">
        <v>34.229999999999997</v>
      </c>
      <c r="K177" s="2">
        <v>1.79</v>
      </c>
      <c r="L177" s="2">
        <v>12.2</v>
      </c>
      <c r="M177" s="2" t="s">
        <v>214</v>
      </c>
    </row>
    <row r="178" spans="1:13" ht="39.950000000000003" customHeight="1">
      <c r="A178" s="9">
        <v>124</v>
      </c>
      <c r="B178" s="2" t="s">
        <v>213</v>
      </c>
      <c r="C178" s="2" t="s">
        <v>14</v>
      </c>
      <c r="D178" s="10">
        <v>50</v>
      </c>
      <c r="E178" s="2"/>
      <c r="F178" s="2">
        <v>0</v>
      </c>
      <c r="G178" s="2"/>
      <c r="H178" s="2">
        <v>54</v>
      </c>
      <c r="I178" s="2">
        <v>2</v>
      </c>
      <c r="J178" s="2"/>
      <c r="K178" s="2"/>
      <c r="L178" s="2"/>
      <c r="M178" s="2" t="s">
        <v>215</v>
      </c>
    </row>
    <row r="179" spans="1:13" ht="39.950000000000003" customHeight="1">
      <c r="A179" s="9">
        <v>125</v>
      </c>
      <c r="B179" s="2" t="s">
        <v>213</v>
      </c>
      <c r="C179" s="2" t="s">
        <v>14</v>
      </c>
      <c r="D179" s="10">
        <v>148</v>
      </c>
      <c r="E179" s="2">
        <v>2.0293918918918918</v>
      </c>
      <c r="F179" s="2">
        <v>0</v>
      </c>
      <c r="G179" s="2">
        <v>2.7018918918918917</v>
      </c>
      <c r="H179" s="2">
        <v>18.868445945945947</v>
      </c>
      <c r="I179" s="2">
        <v>12.161216216216216</v>
      </c>
      <c r="J179" s="2">
        <v>27.086756756756756</v>
      </c>
      <c r="K179" s="2">
        <v>2.0264189189189192</v>
      </c>
      <c r="L179" s="2">
        <v>5.4068918918918918</v>
      </c>
      <c r="M179" s="2" t="s">
        <v>216</v>
      </c>
    </row>
    <row r="180" spans="1:13" ht="39.950000000000003" customHeight="1">
      <c r="A180" s="9">
        <v>126</v>
      </c>
      <c r="B180" s="2" t="s">
        <v>213</v>
      </c>
      <c r="C180" s="2" t="s">
        <v>217</v>
      </c>
      <c r="D180" s="10">
        <v>339</v>
      </c>
      <c r="E180" s="2"/>
      <c r="F180" s="2"/>
      <c r="G180" s="2"/>
      <c r="H180" s="2">
        <f>5.89+32.2+17.5</f>
        <v>55.59</v>
      </c>
      <c r="I180" s="2"/>
      <c r="J180" s="2"/>
      <c r="K180" s="2"/>
      <c r="L180" s="2"/>
      <c r="M180" s="2" t="s">
        <v>218</v>
      </c>
    </row>
    <row r="181" spans="1:13" ht="39.950000000000003" customHeight="1">
      <c r="A181" s="9">
        <v>127</v>
      </c>
      <c r="B181" s="1" t="s">
        <v>48</v>
      </c>
      <c r="C181" s="1" t="s">
        <v>14</v>
      </c>
      <c r="D181" s="9">
        <v>119</v>
      </c>
      <c r="E181" s="1"/>
      <c r="F181" s="1"/>
      <c r="G181" s="1"/>
      <c r="H181" s="1"/>
      <c r="I181" s="1">
        <f>2/119*100</f>
        <v>1.680672268907563</v>
      </c>
      <c r="J181" s="1"/>
      <c r="K181" s="1"/>
      <c r="L181" s="1"/>
      <c r="M181" s="1" t="s">
        <v>219</v>
      </c>
    </row>
    <row r="182" spans="1:13" ht="39.950000000000003" customHeight="1">
      <c r="A182" s="9">
        <v>128</v>
      </c>
      <c r="B182" s="1" t="s">
        <v>48</v>
      </c>
      <c r="C182" s="1" t="s">
        <v>220</v>
      </c>
      <c r="D182" s="9">
        <v>3</v>
      </c>
      <c r="E182" s="1"/>
      <c r="F182" s="1"/>
      <c r="G182" s="1"/>
      <c r="H182" s="1"/>
      <c r="I182" s="1"/>
      <c r="J182" s="1"/>
      <c r="K182" s="1"/>
      <c r="L182" s="1">
        <v>0</v>
      </c>
      <c r="M182" s="1" t="s">
        <v>221</v>
      </c>
    </row>
    <row r="183" spans="1:13" ht="39.950000000000003" customHeight="1">
      <c r="A183" s="9">
        <v>128</v>
      </c>
      <c r="B183" s="1" t="s">
        <v>48</v>
      </c>
      <c r="C183" s="1" t="s">
        <v>220</v>
      </c>
      <c r="D183" s="9">
        <v>13</v>
      </c>
      <c r="E183" s="1"/>
      <c r="F183" s="1"/>
      <c r="G183" s="1"/>
      <c r="H183" s="1"/>
      <c r="I183" s="1"/>
      <c r="J183" s="1"/>
      <c r="K183" s="1"/>
      <c r="L183" s="1">
        <v>7.7</v>
      </c>
      <c r="M183" s="1" t="s">
        <v>221</v>
      </c>
    </row>
    <row r="184" spans="1:13" ht="39.950000000000003" customHeight="1">
      <c r="A184" s="9">
        <v>128</v>
      </c>
      <c r="B184" s="1" t="s">
        <v>48</v>
      </c>
      <c r="C184" s="1" t="s">
        <v>220</v>
      </c>
      <c r="D184" s="9">
        <v>7</v>
      </c>
      <c r="E184" s="1"/>
      <c r="F184" s="1"/>
      <c r="G184" s="1"/>
      <c r="H184" s="1"/>
      <c r="I184" s="1"/>
      <c r="J184" s="1"/>
      <c r="K184" s="1"/>
      <c r="L184" s="1">
        <v>14.3</v>
      </c>
      <c r="M184" s="1" t="s">
        <v>221</v>
      </c>
    </row>
    <row r="185" spans="1:13" ht="39.950000000000003" customHeight="1">
      <c r="A185" s="9">
        <v>128</v>
      </c>
      <c r="B185" s="1" t="s">
        <v>48</v>
      </c>
      <c r="C185" s="1" t="s">
        <v>220</v>
      </c>
      <c r="D185" s="9">
        <v>6</v>
      </c>
      <c r="E185" s="1"/>
      <c r="F185" s="1"/>
      <c r="G185" s="1"/>
      <c r="H185" s="1"/>
      <c r="I185" s="1"/>
      <c r="J185" s="1"/>
      <c r="K185" s="1"/>
      <c r="L185" s="1">
        <v>16.7</v>
      </c>
      <c r="M185" s="1" t="s">
        <v>221</v>
      </c>
    </row>
    <row r="186" spans="1:13" ht="39.950000000000003" customHeight="1">
      <c r="A186" s="9">
        <v>128</v>
      </c>
      <c r="B186" s="1" t="s">
        <v>48</v>
      </c>
      <c r="C186" s="1" t="s">
        <v>220</v>
      </c>
      <c r="D186" s="9">
        <v>6</v>
      </c>
      <c r="E186" s="1"/>
      <c r="F186" s="1"/>
      <c r="G186" s="1"/>
      <c r="H186" s="1"/>
      <c r="I186" s="1"/>
      <c r="J186" s="1"/>
      <c r="K186" s="1"/>
      <c r="L186" s="1">
        <v>33.299999999999997</v>
      </c>
      <c r="M186" s="1" t="s">
        <v>222</v>
      </c>
    </row>
    <row r="187" spans="1:13" ht="39.950000000000003" customHeight="1">
      <c r="A187" s="9">
        <v>128</v>
      </c>
      <c r="B187" s="1" t="s">
        <v>48</v>
      </c>
      <c r="C187" s="1" t="s">
        <v>220</v>
      </c>
      <c r="D187" s="9">
        <v>24</v>
      </c>
      <c r="E187" s="1"/>
      <c r="F187" s="1"/>
      <c r="G187" s="1"/>
      <c r="H187" s="1"/>
      <c r="I187" s="1"/>
      <c r="J187" s="1"/>
      <c r="K187" s="1"/>
      <c r="L187" s="1">
        <v>83.3</v>
      </c>
      <c r="M187" s="1" t="s">
        <v>222</v>
      </c>
    </row>
    <row r="188" spans="1:13" ht="39.950000000000003" customHeight="1">
      <c r="A188" s="9">
        <v>128</v>
      </c>
      <c r="B188" s="1" t="s">
        <v>48</v>
      </c>
      <c r="C188" s="1" t="s">
        <v>220</v>
      </c>
      <c r="D188" s="9">
        <v>1</v>
      </c>
      <c r="E188" s="1"/>
      <c r="F188" s="1"/>
      <c r="G188" s="1"/>
      <c r="H188" s="1"/>
      <c r="I188" s="1"/>
      <c r="J188" s="1"/>
      <c r="K188" s="1"/>
      <c r="L188" s="1">
        <v>100</v>
      </c>
      <c r="M188" s="1" t="s">
        <v>222</v>
      </c>
    </row>
    <row r="189" spans="1:13" ht="39.950000000000003" customHeight="1">
      <c r="A189" s="9">
        <v>129</v>
      </c>
      <c r="B189" s="2" t="s">
        <v>90</v>
      </c>
      <c r="C189" s="2" t="s">
        <v>136</v>
      </c>
      <c r="D189" s="10">
        <v>6</v>
      </c>
      <c r="E189" s="2">
        <v>100</v>
      </c>
      <c r="F189" s="2">
        <v>0</v>
      </c>
      <c r="G189" s="2">
        <v>0</v>
      </c>
      <c r="H189" s="2">
        <f>5/6*100</f>
        <v>83.333333333333343</v>
      </c>
      <c r="I189" s="2">
        <v>0</v>
      </c>
      <c r="J189" s="2">
        <v>0</v>
      </c>
      <c r="K189" s="2">
        <v>0</v>
      </c>
      <c r="L189" s="2">
        <v>0</v>
      </c>
      <c r="M189" s="2" t="s">
        <v>223</v>
      </c>
    </row>
    <row r="190" spans="1:13" ht="39.950000000000003" customHeight="1">
      <c r="A190" s="9">
        <v>130</v>
      </c>
      <c r="B190" s="2" t="s">
        <v>224</v>
      </c>
      <c r="C190" s="2" t="s">
        <v>14</v>
      </c>
      <c r="D190" s="10">
        <v>967</v>
      </c>
      <c r="E190" s="2"/>
      <c r="F190" s="2">
        <v>0.31</v>
      </c>
      <c r="G190" s="2"/>
      <c r="H190" s="2">
        <v>32.26</v>
      </c>
      <c r="I190" s="2">
        <f>3.31+7.03</f>
        <v>10.34</v>
      </c>
      <c r="J190" s="2"/>
      <c r="K190" s="2">
        <v>0.31</v>
      </c>
      <c r="L190" s="2">
        <v>20.99</v>
      </c>
      <c r="M190" s="2" t="s">
        <v>225</v>
      </c>
    </row>
    <row r="191" spans="1:13" ht="39.950000000000003" customHeight="1">
      <c r="A191" s="9">
        <v>131</v>
      </c>
      <c r="B191" s="1" t="s">
        <v>61</v>
      </c>
      <c r="C191" s="1" t="s">
        <v>226</v>
      </c>
      <c r="D191" s="9">
        <v>6</v>
      </c>
      <c r="E191" s="1"/>
      <c r="F191" s="1"/>
      <c r="G191" s="1"/>
      <c r="H191" s="1"/>
      <c r="I191" s="1"/>
      <c r="J191" s="1"/>
      <c r="K191" s="1"/>
      <c r="L191" s="1">
        <v>100</v>
      </c>
      <c r="M191" s="1" t="s">
        <v>227</v>
      </c>
    </row>
    <row r="192" spans="1:13" ht="39.950000000000003" customHeight="1">
      <c r="A192" s="9">
        <v>132</v>
      </c>
      <c r="B192" s="2" t="s">
        <v>61</v>
      </c>
      <c r="C192" s="2" t="s">
        <v>228</v>
      </c>
      <c r="D192" s="10">
        <v>12</v>
      </c>
      <c r="E192" s="2">
        <f>9/12*100</f>
        <v>75</v>
      </c>
      <c r="F192" s="2">
        <v>100</v>
      </c>
      <c r="G192" s="2">
        <f>10/12*100</f>
        <v>83.333333333333343</v>
      </c>
      <c r="H192" s="2"/>
      <c r="I192" s="2">
        <f>11/12*100</f>
        <v>91.666666666666657</v>
      </c>
      <c r="J192" s="2"/>
      <c r="K192" s="2"/>
      <c r="L192" s="2">
        <v>100</v>
      </c>
      <c r="M192" s="2" t="s">
        <v>229</v>
      </c>
    </row>
    <row r="193" spans="1:13" ht="39.950000000000003" customHeight="1">
      <c r="A193" s="9">
        <v>133</v>
      </c>
      <c r="B193" s="2" t="s">
        <v>61</v>
      </c>
      <c r="C193" s="2" t="s">
        <v>25</v>
      </c>
      <c r="D193" s="10">
        <v>7</v>
      </c>
      <c r="E193" s="2">
        <v>0</v>
      </c>
      <c r="F193" s="2">
        <v>0</v>
      </c>
      <c r="G193" s="2">
        <v>0</v>
      </c>
      <c r="H193" s="2">
        <f>4/7*100</f>
        <v>57.142857142857139</v>
      </c>
      <c r="I193" s="2">
        <v>0</v>
      </c>
      <c r="J193" s="2"/>
      <c r="K193" s="2">
        <v>0</v>
      </c>
      <c r="L193" s="2">
        <f>3/7*100</f>
        <v>42.857142857142854</v>
      </c>
      <c r="M193" s="2" t="s">
        <v>230</v>
      </c>
    </row>
    <row r="194" spans="1:13" ht="39.950000000000003" customHeight="1">
      <c r="A194" s="9">
        <v>134</v>
      </c>
      <c r="B194" s="2" t="s">
        <v>61</v>
      </c>
      <c r="C194" s="2" t="s">
        <v>136</v>
      </c>
      <c r="D194" s="10">
        <v>4</v>
      </c>
      <c r="E194" s="2">
        <v>100</v>
      </c>
      <c r="F194" s="2">
        <v>0</v>
      </c>
      <c r="G194" s="2">
        <v>100</v>
      </c>
      <c r="H194" s="2">
        <v>75</v>
      </c>
      <c r="I194" s="2">
        <v>0</v>
      </c>
      <c r="J194" s="2"/>
      <c r="K194" s="2"/>
      <c r="L194" s="2">
        <v>100</v>
      </c>
      <c r="M194" s="2" t="s">
        <v>231</v>
      </c>
    </row>
    <row r="195" spans="1:13" ht="39.950000000000003" customHeight="1">
      <c r="A195" s="9">
        <v>135</v>
      </c>
      <c r="B195" s="2" t="s">
        <v>61</v>
      </c>
      <c r="C195" s="2" t="s">
        <v>226</v>
      </c>
      <c r="D195" s="10">
        <v>4</v>
      </c>
      <c r="E195" s="2">
        <v>100</v>
      </c>
      <c r="F195" s="2">
        <v>25</v>
      </c>
      <c r="G195" s="2"/>
      <c r="H195" s="2">
        <v>33.33</v>
      </c>
      <c r="I195" s="2"/>
      <c r="J195" s="2"/>
      <c r="K195" s="2"/>
      <c r="L195" s="2">
        <v>100</v>
      </c>
      <c r="M195" s="2" t="s">
        <v>232</v>
      </c>
    </row>
    <row r="196" spans="1:13" ht="39.950000000000003" customHeight="1">
      <c r="A196" s="9">
        <v>136</v>
      </c>
      <c r="B196" s="2" t="s">
        <v>61</v>
      </c>
      <c r="C196" s="2" t="s">
        <v>233</v>
      </c>
      <c r="D196" s="10">
        <v>5</v>
      </c>
      <c r="E196" s="2">
        <v>100</v>
      </c>
      <c r="F196" s="2">
        <v>100</v>
      </c>
      <c r="G196" s="2">
        <v>100</v>
      </c>
      <c r="H196" s="2">
        <v>100</v>
      </c>
      <c r="I196" s="2">
        <v>100</v>
      </c>
      <c r="J196" s="2">
        <v>100</v>
      </c>
      <c r="K196" s="2">
        <v>100</v>
      </c>
      <c r="L196" s="2"/>
      <c r="M196" s="2" t="s">
        <v>234</v>
      </c>
    </row>
    <row r="197" spans="1:13" ht="39.950000000000003" customHeight="1">
      <c r="A197" s="9">
        <v>137</v>
      </c>
      <c r="B197" s="2" t="s">
        <v>61</v>
      </c>
      <c r="C197" s="2" t="s">
        <v>235</v>
      </c>
      <c r="D197" s="10">
        <v>3</v>
      </c>
      <c r="E197" s="2">
        <v>67</v>
      </c>
      <c r="F197" s="2">
        <v>0</v>
      </c>
      <c r="G197" s="2">
        <v>33</v>
      </c>
      <c r="H197" s="2"/>
      <c r="I197" s="2"/>
      <c r="J197" s="2"/>
      <c r="K197" s="2"/>
      <c r="L197" s="2">
        <v>100</v>
      </c>
      <c r="M197" s="2" t="s">
        <v>236</v>
      </c>
    </row>
    <row r="198" spans="1:13" ht="39.950000000000003" customHeight="1">
      <c r="A198" s="9">
        <v>138</v>
      </c>
      <c r="B198" s="2" t="s">
        <v>61</v>
      </c>
      <c r="C198" s="2" t="s">
        <v>14</v>
      </c>
      <c r="D198" s="10">
        <v>21</v>
      </c>
      <c r="E198" s="2">
        <v>0</v>
      </c>
      <c r="F198" s="2">
        <v>0</v>
      </c>
      <c r="G198" s="2"/>
      <c r="H198" s="2">
        <v>0</v>
      </c>
      <c r="I198" s="2">
        <v>0</v>
      </c>
      <c r="J198" s="2"/>
      <c r="K198" s="2"/>
      <c r="L198" s="2">
        <v>0</v>
      </c>
      <c r="M198" s="2" t="s">
        <v>237</v>
      </c>
    </row>
    <row r="199" spans="1:13" ht="39.950000000000003" customHeight="1">
      <c r="A199" s="9">
        <v>139</v>
      </c>
      <c r="B199" s="2" t="s">
        <v>61</v>
      </c>
      <c r="C199" s="2"/>
      <c r="D199" s="10">
        <v>10</v>
      </c>
      <c r="E199" s="2">
        <v>70</v>
      </c>
      <c r="F199" s="2">
        <v>0</v>
      </c>
      <c r="G199" s="2">
        <v>70</v>
      </c>
      <c r="H199" s="2">
        <v>100</v>
      </c>
      <c r="I199" s="2">
        <v>10</v>
      </c>
      <c r="J199" s="2">
        <v>70</v>
      </c>
      <c r="K199" s="2">
        <v>0</v>
      </c>
      <c r="L199" s="2"/>
      <c r="M199" s="2" t="s">
        <v>238</v>
      </c>
    </row>
    <row r="200" spans="1:13" ht="39.950000000000003" customHeight="1">
      <c r="A200" s="9">
        <v>140</v>
      </c>
      <c r="B200" s="1" t="s">
        <v>61</v>
      </c>
      <c r="C200" s="1" t="s">
        <v>226</v>
      </c>
      <c r="D200" s="9">
        <v>139</v>
      </c>
      <c r="E200" s="1"/>
      <c r="F200" s="1"/>
      <c r="G200" s="1"/>
      <c r="H200" s="1"/>
      <c r="I200" s="1"/>
      <c r="J200" s="1"/>
      <c r="K200" s="1"/>
      <c r="L200" s="1">
        <f>(139-51)/139*100</f>
        <v>63.309352517985609</v>
      </c>
      <c r="M200" s="1" t="s">
        <v>239</v>
      </c>
    </row>
    <row r="201" spans="1:13" ht="39.950000000000003" customHeight="1">
      <c r="A201" s="9">
        <v>141</v>
      </c>
      <c r="B201" s="2" t="s">
        <v>61</v>
      </c>
      <c r="C201" s="2" t="s">
        <v>240</v>
      </c>
      <c r="D201" s="10">
        <v>42</v>
      </c>
      <c r="E201" s="2"/>
      <c r="F201" s="2"/>
      <c r="G201" s="2"/>
      <c r="H201" s="2"/>
      <c r="I201" s="2"/>
      <c r="J201" s="2"/>
      <c r="K201" s="2"/>
      <c r="L201" s="2">
        <v>100</v>
      </c>
      <c r="M201" s="2" t="s">
        <v>241</v>
      </c>
    </row>
    <row r="202" spans="1:13" ht="39.950000000000003" customHeight="1">
      <c r="A202" s="9" t="s">
        <v>242</v>
      </c>
      <c r="B202" s="2" t="s">
        <v>61</v>
      </c>
      <c r="C202" s="2" t="s">
        <v>14</v>
      </c>
      <c r="D202" s="10">
        <v>2834</v>
      </c>
      <c r="E202" s="2"/>
      <c r="F202" s="2"/>
      <c r="G202" s="2"/>
      <c r="H202" s="2">
        <v>36.823119266055045</v>
      </c>
      <c r="I202" s="2"/>
      <c r="J202" s="2"/>
      <c r="K202" s="2"/>
      <c r="L202" s="2"/>
      <c r="M202" s="2" t="s">
        <v>243</v>
      </c>
    </row>
    <row r="203" spans="1:13" ht="39.950000000000003" customHeight="1">
      <c r="A203" s="9">
        <v>144</v>
      </c>
      <c r="B203" s="2" t="s">
        <v>61</v>
      </c>
      <c r="C203" s="2" t="s">
        <v>240</v>
      </c>
      <c r="D203" s="10">
        <v>1</v>
      </c>
      <c r="E203" s="2"/>
      <c r="F203" s="2"/>
      <c r="G203" s="2"/>
      <c r="H203" s="2"/>
      <c r="I203" s="2"/>
      <c r="J203" s="2"/>
      <c r="K203" s="2"/>
      <c r="L203" s="2">
        <v>100</v>
      </c>
      <c r="M203" s="2" t="s">
        <v>241</v>
      </c>
    </row>
    <row r="204" spans="1:13" ht="39.950000000000003" customHeight="1">
      <c r="A204" s="9">
        <v>144</v>
      </c>
      <c r="B204" s="2" t="s">
        <v>61</v>
      </c>
      <c r="C204" s="2" t="s">
        <v>240</v>
      </c>
      <c r="D204" s="10">
        <v>1</v>
      </c>
      <c r="E204" s="2"/>
      <c r="F204" s="2"/>
      <c r="G204" s="2"/>
      <c r="H204" s="2"/>
      <c r="I204" s="2"/>
      <c r="J204" s="2"/>
      <c r="K204" s="2"/>
      <c r="L204" s="2">
        <v>100</v>
      </c>
      <c r="M204" s="2" t="s">
        <v>244</v>
      </c>
    </row>
    <row r="205" spans="1:13" ht="39.950000000000003" customHeight="1">
      <c r="A205" s="9">
        <v>145</v>
      </c>
      <c r="B205" s="2" t="s">
        <v>61</v>
      </c>
      <c r="C205" s="2" t="s">
        <v>62</v>
      </c>
      <c r="D205" s="10">
        <v>8</v>
      </c>
      <c r="E205" s="2">
        <v>100</v>
      </c>
      <c r="F205" s="2">
        <v>0</v>
      </c>
      <c r="G205" s="2">
        <v>0</v>
      </c>
      <c r="H205" s="2">
        <f>1/8*100</f>
        <v>12.5</v>
      </c>
      <c r="I205" s="2">
        <f>3/8*100</f>
        <v>37.5</v>
      </c>
      <c r="J205" s="2"/>
      <c r="K205" s="2"/>
      <c r="L205" s="2"/>
      <c r="M205" s="2" t="s">
        <v>245</v>
      </c>
    </row>
    <row r="206" spans="1:13" ht="39.950000000000003" customHeight="1">
      <c r="A206" s="9">
        <v>146</v>
      </c>
      <c r="B206" s="2" t="s">
        <v>61</v>
      </c>
      <c r="C206" s="2" t="s">
        <v>62</v>
      </c>
      <c r="D206" s="10">
        <v>6</v>
      </c>
      <c r="E206" s="2">
        <f>4/6*100</f>
        <v>66.666666666666657</v>
      </c>
      <c r="F206" s="2">
        <v>0</v>
      </c>
      <c r="G206" s="2">
        <f>1/6*100</f>
        <v>16.666666666666664</v>
      </c>
      <c r="H206" s="2">
        <f>5/6*100</f>
        <v>83.333333333333343</v>
      </c>
      <c r="I206" s="2"/>
      <c r="J206" s="2"/>
      <c r="K206" s="2"/>
      <c r="L206" s="2"/>
      <c r="M206" s="2" t="s">
        <v>246</v>
      </c>
    </row>
    <row r="207" spans="1:13" ht="39.950000000000003" customHeight="1">
      <c r="A207" s="9">
        <v>146</v>
      </c>
      <c r="B207" s="2" t="s">
        <v>61</v>
      </c>
      <c r="C207" s="2" t="s">
        <v>62</v>
      </c>
      <c r="D207" s="10">
        <v>9</v>
      </c>
      <c r="E207" s="2">
        <f>8/9*100</f>
        <v>88.888888888888886</v>
      </c>
      <c r="F207" s="2">
        <f>6/9*100</f>
        <v>66.666666666666657</v>
      </c>
      <c r="G207" s="2">
        <f>2/9*100</f>
        <v>22.222222222222221</v>
      </c>
      <c r="H207" s="2">
        <f>4/9*100</f>
        <v>44.444444444444443</v>
      </c>
      <c r="I207" s="2"/>
      <c r="J207" s="2"/>
      <c r="K207" s="2"/>
      <c r="L207" s="2"/>
      <c r="M207" s="2" t="s">
        <v>246</v>
      </c>
    </row>
    <row r="208" spans="1:13" ht="39.950000000000003" customHeight="1">
      <c r="A208" s="9">
        <v>146</v>
      </c>
      <c r="B208" s="2" t="s">
        <v>61</v>
      </c>
      <c r="C208" s="2" t="s">
        <v>62</v>
      </c>
      <c r="D208" s="10">
        <v>21</v>
      </c>
      <c r="E208" s="2">
        <f>19/21*100</f>
        <v>90.476190476190482</v>
      </c>
      <c r="F208" s="2">
        <f>9/12*100</f>
        <v>75</v>
      </c>
      <c r="G208" s="2">
        <f>6/21*100</f>
        <v>28.571428571428569</v>
      </c>
      <c r="H208" s="2">
        <f>11/21*100</f>
        <v>52.380952380952387</v>
      </c>
      <c r="I208" s="2"/>
      <c r="J208" s="2"/>
      <c r="K208" s="2"/>
      <c r="L208" s="2"/>
      <c r="M208" s="2" t="s">
        <v>246</v>
      </c>
    </row>
    <row r="209" spans="1:13" ht="39.950000000000003" customHeight="1">
      <c r="A209" s="9">
        <v>146</v>
      </c>
      <c r="B209" s="2" t="s">
        <v>61</v>
      </c>
      <c r="C209" s="2" t="s">
        <v>62</v>
      </c>
      <c r="D209" s="10">
        <v>6</v>
      </c>
      <c r="E209" s="2">
        <v>100</v>
      </c>
      <c r="F209" s="2">
        <v>33.33</v>
      </c>
      <c r="G209" s="2">
        <v>50</v>
      </c>
      <c r="H209" s="2">
        <v>33.33</v>
      </c>
      <c r="I209" s="2"/>
      <c r="J209" s="2"/>
      <c r="K209" s="2"/>
      <c r="L209" s="2"/>
      <c r="M209" s="2" t="s">
        <v>246</v>
      </c>
    </row>
    <row r="210" spans="1:13" ht="39.950000000000003" customHeight="1">
      <c r="A210" s="9">
        <v>147</v>
      </c>
      <c r="B210" s="1" t="s">
        <v>213</v>
      </c>
      <c r="C210" s="1" t="s">
        <v>36</v>
      </c>
      <c r="D210" s="9">
        <v>50</v>
      </c>
      <c r="E210" s="1"/>
      <c r="F210" s="1">
        <v>0</v>
      </c>
      <c r="G210" s="1"/>
      <c r="H210" s="1">
        <f>32+8+14</f>
        <v>54</v>
      </c>
      <c r="I210" s="1">
        <v>2</v>
      </c>
      <c r="J210" s="1"/>
      <c r="K210" s="1"/>
      <c r="L210" s="1"/>
      <c r="M210" s="1" t="s">
        <v>247</v>
      </c>
    </row>
    <row r="211" spans="1:13" ht="39.950000000000003" customHeight="1">
      <c r="A211" s="9">
        <v>148</v>
      </c>
      <c r="B211" s="1" t="s">
        <v>213</v>
      </c>
      <c r="C211" s="1" t="s">
        <v>14</v>
      </c>
      <c r="D211" s="9">
        <v>160</v>
      </c>
      <c r="E211" s="1"/>
      <c r="F211" s="1"/>
      <c r="G211" s="1"/>
      <c r="H211" s="1"/>
      <c r="I211" s="1">
        <v>21.9</v>
      </c>
      <c r="J211" s="1">
        <v>14.38</v>
      </c>
      <c r="K211" s="1"/>
      <c r="L211" s="1"/>
      <c r="M211" s="1" t="s">
        <v>248</v>
      </c>
    </row>
    <row r="212" spans="1:13" ht="39.950000000000003" customHeight="1">
      <c r="A212" s="9">
        <v>149</v>
      </c>
      <c r="B212" s="1" t="s">
        <v>213</v>
      </c>
      <c r="C212" s="1" t="s">
        <v>25</v>
      </c>
      <c r="D212" s="9">
        <v>118</v>
      </c>
      <c r="E212" s="1"/>
      <c r="F212" s="1"/>
      <c r="G212" s="1"/>
      <c r="H212" s="1"/>
      <c r="I212" s="1"/>
      <c r="J212" s="1"/>
      <c r="K212" s="1"/>
      <c r="L212" s="1">
        <v>16.899999999999999</v>
      </c>
      <c r="M212" s="1" t="s">
        <v>249</v>
      </c>
    </row>
    <row r="213" spans="1:13" ht="39.950000000000003" customHeight="1">
      <c r="A213" s="9">
        <v>150</v>
      </c>
      <c r="B213" s="2" t="s">
        <v>213</v>
      </c>
      <c r="C213" s="2" t="s">
        <v>14</v>
      </c>
      <c r="D213" s="10">
        <v>159</v>
      </c>
      <c r="E213" s="2"/>
      <c r="F213" s="2"/>
      <c r="G213" s="2"/>
      <c r="H213" s="2">
        <v>85.5</v>
      </c>
      <c r="I213" s="2"/>
      <c r="J213" s="2"/>
      <c r="K213" s="2"/>
      <c r="L213" s="2"/>
      <c r="M213" s="2" t="s">
        <v>250</v>
      </c>
    </row>
    <row r="214" spans="1:13" ht="39.950000000000003" customHeight="1">
      <c r="A214" s="9">
        <v>151</v>
      </c>
      <c r="B214" s="2" t="s">
        <v>145</v>
      </c>
      <c r="C214" s="2" t="s">
        <v>25</v>
      </c>
      <c r="D214" s="10">
        <v>95</v>
      </c>
      <c r="E214" s="2">
        <v>0</v>
      </c>
      <c r="F214" s="2">
        <v>0</v>
      </c>
      <c r="G214" s="2">
        <v>0</v>
      </c>
      <c r="H214" s="2">
        <v>0</v>
      </c>
      <c r="I214" s="2"/>
      <c r="J214" s="2">
        <v>0</v>
      </c>
      <c r="K214" s="2">
        <v>0</v>
      </c>
      <c r="L214" s="2"/>
      <c r="M214" s="5" t="s">
        <v>251</v>
      </c>
    </row>
    <row r="215" spans="1:13" ht="39.950000000000003" customHeight="1">
      <c r="A215" s="9">
        <v>152</v>
      </c>
      <c r="B215" s="2" t="s">
        <v>252</v>
      </c>
      <c r="C215" s="2" t="s">
        <v>253</v>
      </c>
      <c r="D215" s="10">
        <v>5</v>
      </c>
      <c r="E215" s="2">
        <v>100</v>
      </c>
      <c r="F215" s="2">
        <v>100</v>
      </c>
      <c r="G215" s="2">
        <v>100</v>
      </c>
      <c r="H215" s="2">
        <v>100</v>
      </c>
      <c r="I215" s="2"/>
      <c r="J215" s="2"/>
      <c r="K215" s="2"/>
      <c r="L215" s="2"/>
      <c r="M215" s="2" t="s">
        <v>254</v>
      </c>
    </row>
    <row r="216" spans="1:13" ht="39.950000000000003" customHeight="1">
      <c r="A216" s="9">
        <v>153</v>
      </c>
      <c r="B216" s="2" t="s">
        <v>252</v>
      </c>
      <c r="C216" s="2" t="s">
        <v>52</v>
      </c>
      <c r="D216" s="10">
        <v>19</v>
      </c>
      <c r="E216" s="2"/>
      <c r="F216" s="2">
        <v>0</v>
      </c>
      <c r="G216" s="2"/>
      <c r="H216" s="2">
        <f>3/19*100</f>
        <v>15.789473684210526</v>
      </c>
      <c r="I216" s="2">
        <f>2/19*100</f>
        <v>10.526315789473683</v>
      </c>
      <c r="J216" s="2"/>
      <c r="K216" s="2">
        <f>1/19*100</f>
        <v>5.2631578947368416</v>
      </c>
      <c r="L216" s="2"/>
      <c r="M216" s="2" t="s">
        <v>255</v>
      </c>
    </row>
    <row r="217" spans="1:13" ht="39.950000000000003" customHeight="1">
      <c r="A217" s="9" t="s">
        <v>256</v>
      </c>
      <c r="B217" s="2" t="s">
        <v>252</v>
      </c>
      <c r="C217" s="2" t="s">
        <v>52</v>
      </c>
      <c r="D217" s="10">
        <v>591</v>
      </c>
      <c r="E217" s="2"/>
      <c r="F217" s="2">
        <v>0</v>
      </c>
      <c r="G217" s="2">
        <v>0</v>
      </c>
      <c r="H217" s="2">
        <v>1.1684602368866328</v>
      </c>
      <c r="I217" s="2">
        <v>0</v>
      </c>
      <c r="J217" s="2"/>
      <c r="K217" s="2">
        <v>3.2001184433164127</v>
      </c>
      <c r="L217" s="2">
        <v>0.50003384094754655</v>
      </c>
      <c r="M217" s="2" t="s">
        <v>257</v>
      </c>
    </row>
    <row r="218" spans="1:13" ht="39.950000000000003" customHeight="1">
      <c r="A218" s="9">
        <v>156</v>
      </c>
      <c r="B218" s="2" t="s">
        <v>252</v>
      </c>
      <c r="C218" s="2"/>
      <c r="D218" s="10">
        <v>16</v>
      </c>
      <c r="E218" s="2">
        <v>0</v>
      </c>
      <c r="F218" s="2">
        <v>0</v>
      </c>
      <c r="G218" s="2">
        <v>0</v>
      </c>
      <c r="H218" s="2">
        <v>0</v>
      </c>
      <c r="I218" s="2">
        <v>0</v>
      </c>
      <c r="J218" s="2">
        <v>0</v>
      </c>
      <c r="K218" s="2">
        <v>0</v>
      </c>
      <c r="L218" s="2">
        <v>0</v>
      </c>
      <c r="M218" s="2" t="s">
        <v>258</v>
      </c>
    </row>
    <row r="219" spans="1:13" ht="39.950000000000003" customHeight="1">
      <c r="A219" s="9">
        <v>156</v>
      </c>
      <c r="B219" s="2" t="s">
        <v>252</v>
      </c>
      <c r="C219" s="2"/>
      <c r="D219" s="10">
        <v>30</v>
      </c>
      <c r="E219" s="2">
        <v>0</v>
      </c>
      <c r="F219" s="2">
        <v>0</v>
      </c>
      <c r="G219" s="2"/>
      <c r="H219" s="2">
        <v>3.33</v>
      </c>
      <c r="I219" s="2">
        <v>0</v>
      </c>
      <c r="J219" s="2">
        <v>0</v>
      </c>
      <c r="K219" s="2">
        <v>0</v>
      </c>
      <c r="L219" s="2">
        <v>3.33</v>
      </c>
      <c r="M219" s="2" t="s">
        <v>258</v>
      </c>
    </row>
    <row r="220" spans="1:13" ht="39.950000000000003" customHeight="1">
      <c r="A220" s="9">
        <v>156</v>
      </c>
      <c r="B220" s="2" t="s">
        <v>252</v>
      </c>
      <c r="C220" s="2"/>
      <c r="D220" s="10">
        <v>36</v>
      </c>
      <c r="E220" s="2">
        <v>0</v>
      </c>
      <c r="F220" s="2">
        <v>0</v>
      </c>
      <c r="G220" s="2">
        <v>0</v>
      </c>
      <c r="H220" s="2">
        <v>0</v>
      </c>
      <c r="I220" s="2">
        <v>0</v>
      </c>
      <c r="J220" s="2">
        <v>8.33</v>
      </c>
      <c r="K220" s="2">
        <v>0</v>
      </c>
      <c r="L220" s="2">
        <v>0</v>
      </c>
      <c r="M220" s="2" t="s">
        <v>259</v>
      </c>
    </row>
    <row r="221" spans="1:13" ht="39.950000000000003" customHeight="1">
      <c r="A221" s="9">
        <v>156</v>
      </c>
      <c r="B221" s="2" t="s">
        <v>252</v>
      </c>
      <c r="C221" s="2"/>
      <c r="D221" s="10">
        <v>35</v>
      </c>
      <c r="E221" s="2">
        <v>0</v>
      </c>
      <c r="F221" s="2">
        <v>0</v>
      </c>
      <c r="G221" s="2">
        <v>0</v>
      </c>
      <c r="H221" s="2">
        <v>0</v>
      </c>
      <c r="I221" s="2">
        <v>0</v>
      </c>
      <c r="J221" s="2">
        <v>17.14</v>
      </c>
      <c r="K221" s="2">
        <v>0</v>
      </c>
      <c r="L221" s="2">
        <v>0</v>
      </c>
      <c r="M221" s="2" t="s">
        <v>259</v>
      </c>
    </row>
    <row r="222" spans="1:13" ht="39.950000000000003" customHeight="1">
      <c r="A222" s="9">
        <v>156</v>
      </c>
      <c r="B222" s="2" t="s">
        <v>252</v>
      </c>
      <c r="C222" s="2"/>
      <c r="D222" s="10">
        <v>45</v>
      </c>
      <c r="E222" s="2">
        <v>2.2200000000000002</v>
      </c>
      <c r="F222" s="2">
        <v>0</v>
      </c>
      <c r="G222" s="2">
        <v>0</v>
      </c>
      <c r="H222" s="2">
        <v>2.2200000000000002</v>
      </c>
      <c r="I222" s="2">
        <v>0</v>
      </c>
      <c r="J222" s="2">
        <v>8.89</v>
      </c>
      <c r="K222" s="2">
        <v>20</v>
      </c>
      <c r="L222" s="2">
        <v>2.2200000000000002</v>
      </c>
      <c r="M222" s="2" t="s">
        <v>259</v>
      </c>
    </row>
    <row r="223" spans="1:13" ht="39.950000000000003" customHeight="1">
      <c r="A223" s="9">
        <v>156</v>
      </c>
      <c r="B223" s="2" t="s">
        <v>252</v>
      </c>
      <c r="C223" s="2"/>
      <c r="D223" s="10">
        <v>34</v>
      </c>
      <c r="E223" s="2">
        <v>5.88</v>
      </c>
      <c r="F223" s="2">
        <v>0</v>
      </c>
      <c r="G223" s="2">
        <v>0</v>
      </c>
      <c r="H223" s="2">
        <v>0</v>
      </c>
      <c r="I223" s="2">
        <v>0</v>
      </c>
      <c r="J223" s="2">
        <v>26.47</v>
      </c>
      <c r="K223" s="2">
        <v>8.2200000000000006</v>
      </c>
      <c r="L223" s="2">
        <v>0</v>
      </c>
      <c r="M223" s="2" t="s">
        <v>259</v>
      </c>
    </row>
    <row r="224" spans="1:13" ht="39.950000000000003" customHeight="1">
      <c r="A224" s="9">
        <v>157</v>
      </c>
      <c r="B224" s="2" t="s">
        <v>252</v>
      </c>
      <c r="C224" s="2" t="s">
        <v>14</v>
      </c>
      <c r="D224" s="10">
        <v>19</v>
      </c>
      <c r="E224" s="2"/>
      <c r="F224" s="2">
        <v>0</v>
      </c>
      <c r="G224" s="2"/>
      <c r="H224" s="2">
        <v>0</v>
      </c>
      <c r="I224" s="2">
        <v>0</v>
      </c>
      <c r="J224" s="2"/>
      <c r="K224" s="2">
        <v>0</v>
      </c>
      <c r="L224" s="2">
        <v>0</v>
      </c>
      <c r="M224" s="2" t="s">
        <v>260</v>
      </c>
    </row>
    <row r="225" spans="1:13" ht="39.950000000000003" customHeight="1">
      <c r="A225" s="9">
        <v>158</v>
      </c>
      <c r="B225" s="2" t="s">
        <v>252</v>
      </c>
      <c r="C225" s="2" t="s">
        <v>52</v>
      </c>
      <c r="D225" s="10">
        <v>25</v>
      </c>
      <c r="E225" s="2"/>
      <c r="F225" s="2">
        <v>0</v>
      </c>
      <c r="G225" s="2"/>
      <c r="H225" s="2">
        <v>0</v>
      </c>
      <c r="I225" s="2">
        <v>0</v>
      </c>
      <c r="J225" s="2"/>
      <c r="K225" s="2">
        <v>4</v>
      </c>
      <c r="L225" s="2">
        <f>1/25*100</f>
        <v>4</v>
      </c>
      <c r="M225" s="2" t="s">
        <v>261</v>
      </c>
    </row>
    <row r="226" spans="1:13" ht="39.950000000000003" customHeight="1">
      <c r="A226" s="9">
        <v>159</v>
      </c>
      <c r="B226" s="2" t="s">
        <v>145</v>
      </c>
      <c r="C226" s="2"/>
      <c r="D226" s="10">
        <v>7</v>
      </c>
      <c r="E226" s="2">
        <v>0</v>
      </c>
      <c r="F226" s="2">
        <v>0</v>
      </c>
      <c r="G226" s="2"/>
      <c r="H226" s="2">
        <v>0</v>
      </c>
      <c r="I226" s="2">
        <v>0</v>
      </c>
      <c r="J226" s="2"/>
      <c r="K226" s="2">
        <v>0</v>
      </c>
      <c r="L226" s="2">
        <v>0</v>
      </c>
      <c r="M226" s="2" t="s">
        <v>262</v>
      </c>
    </row>
    <row r="227" spans="1:13" ht="39.950000000000003" customHeight="1">
      <c r="A227" s="9">
        <v>160</v>
      </c>
      <c r="B227" s="2" t="s">
        <v>73</v>
      </c>
      <c r="C227" s="2"/>
      <c r="D227" s="10">
        <v>117</v>
      </c>
      <c r="E227" s="2">
        <v>3.4</v>
      </c>
      <c r="F227" s="2">
        <v>0</v>
      </c>
      <c r="G227" s="2"/>
      <c r="H227" s="2">
        <v>0</v>
      </c>
      <c r="I227" s="2">
        <v>0.85</v>
      </c>
      <c r="J227" s="2"/>
      <c r="K227" s="2">
        <v>0</v>
      </c>
      <c r="L227" s="2">
        <v>0</v>
      </c>
      <c r="M227" s="2" t="s">
        <v>262</v>
      </c>
    </row>
    <row r="228" spans="1:13" ht="39.950000000000003" customHeight="1">
      <c r="A228" s="9">
        <v>161</v>
      </c>
      <c r="B228" s="2" t="s">
        <v>16</v>
      </c>
      <c r="C228" s="2" t="s">
        <v>14</v>
      </c>
      <c r="D228" s="10">
        <v>30</v>
      </c>
      <c r="E228" s="2"/>
      <c r="F228" s="2">
        <v>67</v>
      </c>
      <c r="G228" s="2">
        <v>100</v>
      </c>
      <c r="H228" s="2">
        <v>100</v>
      </c>
      <c r="I228" s="2"/>
      <c r="J228" s="2"/>
      <c r="K228" s="2"/>
      <c r="L228" s="2"/>
      <c r="M228" s="2" t="s">
        <v>263</v>
      </c>
    </row>
    <row r="229" spans="1:13" ht="39.950000000000003" customHeight="1">
      <c r="A229" s="9">
        <v>162</v>
      </c>
      <c r="B229" s="2" t="s">
        <v>264</v>
      </c>
      <c r="C229" s="2"/>
      <c r="D229" s="10">
        <v>24</v>
      </c>
      <c r="E229" s="2"/>
      <c r="F229" s="2"/>
      <c r="G229" s="2"/>
      <c r="H229" s="2">
        <v>0</v>
      </c>
      <c r="I229" s="2">
        <v>0</v>
      </c>
      <c r="J229" s="2"/>
      <c r="K229" s="2">
        <v>0</v>
      </c>
      <c r="L229" s="2">
        <v>0</v>
      </c>
      <c r="M229" s="2" t="s">
        <v>265</v>
      </c>
    </row>
    <row r="230" spans="1:13" ht="39.950000000000003" customHeight="1">
      <c r="A230" s="9">
        <v>163</v>
      </c>
      <c r="B230" s="2" t="s">
        <v>13</v>
      </c>
      <c r="C230" s="2" t="s">
        <v>25</v>
      </c>
      <c r="D230" s="10">
        <v>83</v>
      </c>
      <c r="E230" s="2">
        <v>0</v>
      </c>
      <c r="F230" s="2">
        <v>0</v>
      </c>
      <c r="G230" s="2">
        <v>0</v>
      </c>
      <c r="H230" s="2"/>
      <c r="I230" s="2"/>
      <c r="J230" s="2"/>
      <c r="K230" s="2"/>
      <c r="L230" s="2"/>
      <c r="M230" s="2" t="s">
        <v>266</v>
      </c>
    </row>
    <row r="231" spans="1:13" ht="39.950000000000003" customHeight="1">
      <c r="A231" s="9">
        <v>164</v>
      </c>
      <c r="B231" s="2" t="s">
        <v>22</v>
      </c>
      <c r="C231" s="2" t="s">
        <v>25</v>
      </c>
      <c r="D231" s="10">
        <v>271</v>
      </c>
      <c r="E231" s="2">
        <v>0</v>
      </c>
      <c r="F231" s="2">
        <v>0</v>
      </c>
      <c r="G231" s="2">
        <v>0</v>
      </c>
      <c r="H231" s="2">
        <v>0</v>
      </c>
      <c r="I231" s="2">
        <f>4/271*100</f>
        <v>1.4760147601476015</v>
      </c>
      <c r="J231" s="2">
        <f>4/271*100</f>
        <v>1.4760147601476015</v>
      </c>
      <c r="K231" s="2">
        <v>0</v>
      </c>
      <c r="L231" s="2">
        <v>0</v>
      </c>
      <c r="M231" s="2" t="s">
        <v>267</v>
      </c>
    </row>
    <row r="232" spans="1:13" ht="39.950000000000003" customHeight="1">
      <c r="A232" s="9">
        <v>165</v>
      </c>
      <c r="B232" s="2" t="s">
        <v>22</v>
      </c>
      <c r="C232" s="2" t="s">
        <v>25</v>
      </c>
      <c r="D232" s="10">
        <v>32</v>
      </c>
      <c r="E232" s="2">
        <v>0</v>
      </c>
      <c r="F232" s="2">
        <v>0</v>
      </c>
      <c r="G232" s="2">
        <v>0</v>
      </c>
      <c r="H232" s="2">
        <v>0</v>
      </c>
      <c r="I232" s="2"/>
      <c r="J232" s="2"/>
      <c r="K232" s="2">
        <v>0</v>
      </c>
      <c r="L232" s="2"/>
      <c r="M232" s="2" t="s">
        <v>268</v>
      </c>
    </row>
    <row r="233" spans="1:13" ht="39.950000000000003" customHeight="1">
      <c r="A233" s="9">
        <v>166</v>
      </c>
      <c r="B233" s="2" t="s">
        <v>61</v>
      </c>
      <c r="C233" s="2"/>
      <c r="D233" s="10">
        <v>15</v>
      </c>
      <c r="E233" s="2">
        <v>0</v>
      </c>
      <c r="F233" s="2">
        <v>0</v>
      </c>
      <c r="G233" s="2"/>
      <c r="H233" s="2">
        <v>0</v>
      </c>
      <c r="I233" s="2">
        <v>0</v>
      </c>
      <c r="J233" s="2"/>
      <c r="K233" s="2"/>
      <c r="L233" s="2">
        <v>0</v>
      </c>
      <c r="M233" s="2" t="s">
        <v>269</v>
      </c>
    </row>
    <row r="234" spans="1:13" ht="39.950000000000003" customHeight="1">
      <c r="A234" s="9">
        <v>167</v>
      </c>
      <c r="B234" s="2" t="s">
        <v>73</v>
      </c>
      <c r="C234" s="2" t="s">
        <v>52</v>
      </c>
      <c r="D234" s="10">
        <v>20029</v>
      </c>
      <c r="E234" s="2">
        <v>0.15</v>
      </c>
      <c r="F234" s="2">
        <v>0</v>
      </c>
      <c r="G234" s="2">
        <v>0.1</v>
      </c>
      <c r="H234" s="2">
        <v>0.52</v>
      </c>
      <c r="I234" s="2">
        <v>0.03</v>
      </c>
      <c r="J234" s="2">
        <v>0.60499999999999998</v>
      </c>
      <c r="K234" s="2">
        <v>0.09</v>
      </c>
      <c r="L234" s="2">
        <v>0.04</v>
      </c>
      <c r="M234" s="2" t="s">
        <v>270</v>
      </c>
    </row>
    <row r="235" spans="1:13" ht="39.950000000000003" customHeight="1">
      <c r="A235" s="9">
        <v>168</v>
      </c>
      <c r="B235" s="2" t="s">
        <v>73</v>
      </c>
      <c r="C235" s="2" t="s">
        <v>14</v>
      </c>
      <c r="D235" s="10">
        <v>100</v>
      </c>
      <c r="E235" s="2">
        <v>10</v>
      </c>
      <c r="F235" s="2">
        <v>0</v>
      </c>
      <c r="G235" s="2">
        <v>5</v>
      </c>
      <c r="H235" s="2">
        <v>9</v>
      </c>
      <c r="I235" s="2">
        <f>1</f>
        <v>1</v>
      </c>
      <c r="J235" s="2">
        <v>0</v>
      </c>
      <c r="K235" s="2">
        <v>0</v>
      </c>
      <c r="L235" s="2">
        <v>0</v>
      </c>
      <c r="M235" s="2" t="s">
        <v>271</v>
      </c>
    </row>
    <row r="236" spans="1:13" ht="39.950000000000003" customHeight="1">
      <c r="A236" s="9">
        <v>169</v>
      </c>
      <c r="B236" s="2" t="s">
        <v>73</v>
      </c>
      <c r="C236" s="2"/>
      <c r="D236" s="10">
        <v>2781</v>
      </c>
      <c r="E236" s="2">
        <v>0.04</v>
      </c>
      <c r="F236" s="2">
        <v>0</v>
      </c>
      <c r="G236" s="2">
        <v>0.4</v>
      </c>
      <c r="H236" s="2">
        <v>0.65</v>
      </c>
      <c r="I236" s="2">
        <v>0</v>
      </c>
      <c r="J236" s="2">
        <v>0</v>
      </c>
      <c r="K236" s="2">
        <v>0</v>
      </c>
      <c r="L236" s="2">
        <v>0.15</v>
      </c>
      <c r="M236" s="2" t="s">
        <v>272</v>
      </c>
    </row>
    <row r="237" spans="1:13" ht="39.950000000000003" customHeight="1">
      <c r="A237" s="9">
        <v>170</v>
      </c>
      <c r="B237" s="2" t="s">
        <v>73</v>
      </c>
      <c r="C237" s="2" t="s">
        <v>14</v>
      </c>
      <c r="D237" s="10">
        <v>150</v>
      </c>
      <c r="E237" s="2"/>
      <c r="F237" s="2">
        <v>0</v>
      </c>
      <c r="G237" s="2"/>
      <c r="H237" s="2">
        <v>0</v>
      </c>
      <c r="I237" s="2">
        <v>0</v>
      </c>
      <c r="J237" s="2"/>
      <c r="K237" s="2">
        <v>0</v>
      </c>
      <c r="L237" s="2">
        <v>0</v>
      </c>
      <c r="M237" s="2" t="s">
        <v>273</v>
      </c>
    </row>
    <row r="238" spans="1:13" ht="39.950000000000003" customHeight="1">
      <c r="A238" s="9">
        <v>170</v>
      </c>
      <c r="B238" s="2" t="s">
        <v>73</v>
      </c>
      <c r="C238" s="2" t="s">
        <v>14</v>
      </c>
      <c r="D238" s="10">
        <v>140</v>
      </c>
      <c r="E238" s="2"/>
      <c r="F238" s="2">
        <v>0</v>
      </c>
      <c r="G238" s="2"/>
      <c r="H238" s="2">
        <v>0</v>
      </c>
      <c r="I238" s="2">
        <v>0</v>
      </c>
      <c r="J238" s="2"/>
      <c r="K238" s="2">
        <v>0</v>
      </c>
      <c r="L238" s="2">
        <v>0</v>
      </c>
      <c r="M238" s="2" t="s">
        <v>273</v>
      </c>
    </row>
    <row r="239" spans="1:13" ht="39.950000000000003" customHeight="1">
      <c r="A239" s="9">
        <v>171</v>
      </c>
      <c r="B239" s="2" t="s">
        <v>73</v>
      </c>
      <c r="C239" s="2" t="s">
        <v>14</v>
      </c>
      <c r="D239" s="10">
        <f>49+66</f>
        <v>115</v>
      </c>
      <c r="E239" s="2">
        <v>0</v>
      </c>
      <c r="F239" s="2">
        <v>0</v>
      </c>
      <c r="G239" s="2">
        <v>0</v>
      </c>
      <c r="H239" s="2">
        <v>0</v>
      </c>
      <c r="I239" s="2">
        <v>0</v>
      </c>
      <c r="J239" s="2">
        <v>8.8000000000000007</v>
      </c>
      <c r="K239" s="2">
        <v>8.8000000000000007</v>
      </c>
      <c r="L239" s="2">
        <v>0</v>
      </c>
      <c r="M239" s="2" t="s">
        <v>274</v>
      </c>
    </row>
    <row r="240" spans="1:13" ht="39.950000000000003" customHeight="1">
      <c r="A240" s="9">
        <v>172</v>
      </c>
      <c r="B240" s="2" t="s">
        <v>73</v>
      </c>
      <c r="C240" s="2" t="s">
        <v>14</v>
      </c>
      <c r="D240" s="10">
        <v>295</v>
      </c>
      <c r="E240" s="2">
        <v>0</v>
      </c>
      <c r="F240" s="2">
        <v>0</v>
      </c>
      <c r="G240" s="2">
        <v>0</v>
      </c>
      <c r="H240" s="2">
        <v>0</v>
      </c>
      <c r="I240" s="2">
        <f>1/295*100</f>
        <v>0.33898305084745761</v>
      </c>
      <c r="J240" s="2"/>
      <c r="K240" s="2">
        <v>0</v>
      </c>
      <c r="L240" s="2">
        <v>0</v>
      </c>
      <c r="M240" s="2" t="s">
        <v>89</v>
      </c>
    </row>
    <row r="241" spans="1:13" ht="39.950000000000003" customHeight="1">
      <c r="A241" s="9">
        <v>172</v>
      </c>
      <c r="B241" s="2" t="s">
        <v>73</v>
      </c>
      <c r="C241" s="2" t="s">
        <v>14</v>
      </c>
      <c r="D241" s="10">
        <v>250</v>
      </c>
      <c r="E241" s="2">
        <v>0</v>
      </c>
      <c r="F241" s="2">
        <v>0</v>
      </c>
      <c r="G241" s="2">
        <v>0</v>
      </c>
      <c r="H241" s="2">
        <f>1/250*100</f>
        <v>0.4</v>
      </c>
      <c r="I241" s="2">
        <v>0</v>
      </c>
      <c r="J241" s="2"/>
      <c r="K241" s="2">
        <v>0</v>
      </c>
      <c r="L241" s="2">
        <v>0</v>
      </c>
      <c r="M241" s="2" t="s">
        <v>275</v>
      </c>
    </row>
    <row r="242" spans="1:13" ht="39.950000000000003" customHeight="1">
      <c r="A242" s="9">
        <v>172</v>
      </c>
      <c r="B242" s="2" t="s">
        <v>73</v>
      </c>
      <c r="C242" s="2" t="s">
        <v>14</v>
      </c>
      <c r="D242" s="10">
        <v>238</v>
      </c>
      <c r="E242" s="2">
        <v>0</v>
      </c>
      <c r="F242" s="2">
        <f>1/238*100</f>
        <v>0.42016806722689076</v>
      </c>
      <c r="G242" s="2">
        <f>1/238*100</f>
        <v>0.42016806722689076</v>
      </c>
      <c r="H242" s="2">
        <v>0</v>
      </c>
      <c r="I242" s="2">
        <v>0</v>
      </c>
      <c r="J242" s="2"/>
      <c r="K242" s="2">
        <v>0</v>
      </c>
      <c r="L242" s="2">
        <v>0</v>
      </c>
      <c r="M242" s="2" t="s">
        <v>275</v>
      </c>
    </row>
    <row r="243" spans="1:13" ht="39.950000000000003" customHeight="1">
      <c r="A243" s="9">
        <v>172</v>
      </c>
      <c r="B243" s="2" t="s">
        <v>73</v>
      </c>
      <c r="C243" s="2" t="s">
        <v>14</v>
      </c>
      <c r="D243" s="10">
        <v>166</v>
      </c>
      <c r="E243" s="2">
        <f>18/166*100</f>
        <v>10.843373493975903</v>
      </c>
      <c r="F243" s="2">
        <f>1/166*100</f>
        <v>0.60240963855421692</v>
      </c>
      <c r="G243" s="2">
        <v>0</v>
      </c>
      <c r="H243" s="2">
        <f>2/166*100</f>
        <v>1.2048192771084338</v>
      </c>
      <c r="I243" s="2">
        <v>0</v>
      </c>
      <c r="J243" s="2"/>
      <c r="K243" s="2">
        <v>0</v>
      </c>
      <c r="L243" s="2">
        <f>1/166*100</f>
        <v>0.60240963855421692</v>
      </c>
      <c r="M243" s="2" t="s">
        <v>275</v>
      </c>
    </row>
    <row r="244" spans="1:13" ht="39.950000000000003" customHeight="1">
      <c r="A244" s="9">
        <v>173</v>
      </c>
      <c r="B244" s="2" t="s">
        <v>276</v>
      </c>
      <c r="C244" s="2">
        <f>113+15.5/60</f>
        <v>113.25833333333334</v>
      </c>
      <c r="D244" s="9">
        <v>14</v>
      </c>
      <c r="E244" s="2">
        <v>0</v>
      </c>
      <c r="F244" s="2">
        <v>0</v>
      </c>
      <c r="G244" s="2">
        <v>0</v>
      </c>
      <c r="H244" s="2"/>
      <c r="I244" s="2"/>
      <c r="J244" s="2">
        <v>0</v>
      </c>
      <c r="K244" s="2">
        <v>0</v>
      </c>
      <c r="L244" s="2"/>
      <c r="M244" s="1" t="s">
        <v>277</v>
      </c>
    </row>
    <row r="245" spans="1:13" ht="39.950000000000003" customHeight="1">
      <c r="A245" s="9">
        <v>174</v>
      </c>
      <c r="B245" s="2" t="s">
        <v>84</v>
      </c>
      <c r="C245" s="2" t="s">
        <v>14</v>
      </c>
      <c r="D245" s="10">
        <v>102</v>
      </c>
      <c r="E245" s="2">
        <v>0</v>
      </c>
      <c r="F245" s="2">
        <v>0</v>
      </c>
      <c r="G245" s="2">
        <v>0</v>
      </c>
      <c r="H245" s="2">
        <v>0</v>
      </c>
      <c r="I245" s="2">
        <v>0</v>
      </c>
      <c r="J245" s="2">
        <v>0</v>
      </c>
      <c r="K245" s="2">
        <v>1.96</v>
      </c>
      <c r="L245" s="2">
        <v>0</v>
      </c>
      <c r="M245" s="2" t="s">
        <v>278</v>
      </c>
    </row>
    <row r="246" spans="1:13" ht="39.950000000000003" customHeight="1">
      <c r="A246" s="9">
        <v>175</v>
      </c>
      <c r="B246" s="2" t="s">
        <v>84</v>
      </c>
      <c r="C246" s="2" t="s">
        <v>52</v>
      </c>
      <c r="D246" s="10">
        <v>20</v>
      </c>
      <c r="E246" s="2"/>
      <c r="F246" s="2">
        <v>0</v>
      </c>
      <c r="G246" s="2"/>
      <c r="H246" s="2">
        <v>0</v>
      </c>
      <c r="I246" s="2"/>
      <c r="J246" s="2"/>
      <c r="K246" s="2"/>
      <c r="L246" s="2"/>
      <c r="M246" s="2" t="s">
        <v>279</v>
      </c>
    </row>
    <row r="247" spans="1:13" ht="39.950000000000003" customHeight="1">
      <c r="A247" s="9">
        <v>176</v>
      </c>
      <c r="B247" s="2" t="s">
        <v>84</v>
      </c>
      <c r="C247" s="2" t="s">
        <v>14</v>
      </c>
      <c r="D247" s="10">
        <v>501</v>
      </c>
      <c r="E247" s="2">
        <v>0</v>
      </c>
      <c r="F247" s="2">
        <v>0</v>
      </c>
      <c r="G247" s="2">
        <v>0</v>
      </c>
      <c r="H247" s="2">
        <v>0</v>
      </c>
      <c r="I247" s="2">
        <f>1/501*100</f>
        <v>0.19960079840319359</v>
      </c>
      <c r="J247" s="2">
        <v>0</v>
      </c>
      <c r="K247" s="2">
        <v>0</v>
      </c>
      <c r="L247" s="2">
        <f>1/501*100</f>
        <v>0.19960079840319359</v>
      </c>
      <c r="M247" s="2" t="s">
        <v>280</v>
      </c>
    </row>
    <row r="248" spans="1:13" ht="39.950000000000003" customHeight="1">
      <c r="A248" s="9">
        <v>177</v>
      </c>
      <c r="B248" s="1" t="s">
        <v>84</v>
      </c>
      <c r="C248" s="1" t="s">
        <v>52</v>
      </c>
      <c r="D248" s="9">
        <v>100</v>
      </c>
      <c r="E248" s="1"/>
      <c r="F248" s="1"/>
      <c r="G248" s="1"/>
      <c r="H248" s="1"/>
      <c r="I248" s="1">
        <v>0</v>
      </c>
      <c r="J248" s="1">
        <v>0</v>
      </c>
      <c r="K248" s="1">
        <v>0</v>
      </c>
      <c r="L248" s="1">
        <v>0</v>
      </c>
      <c r="M248" s="1" t="s">
        <v>281</v>
      </c>
    </row>
    <row r="249" spans="1:13" ht="39.950000000000003" customHeight="1">
      <c r="A249" s="9">
        <v>178</v>
      </c>
      <c r="B249" s="2" t="s">
        <v>145</v>
      </c>
      <c r="C249" s="2" t="s">
        <v>14</v>
      </c>
      <c r="D249" s="10">
        <v>15</v>
      </c>
      <c r="E249" s="2">
        <v>0</v>
      </c>
      <c r="F249" s="2">
        <v>0</v>
      </c>
      <c r="G249" s="2"/>
      <c r="H249" s="2">
        <v>0</v>
      </c>
      <c r="I249" s="2">
        <v>0</v>
      </c>
      <c r="J249" s="2"/>
      <c r="K249" s="2">
        <v>0</v>
      </c>
      <c r="L249" s="2">
        <v>0</v>
      </c>
      <c r="M249" s="2" t="s">
        <v>282</v>
      </c>
    </row>
    <row r="250" spans="1:13" ht="39.950000000000003" customHeight="1">
      <c r="A250" s="9">
        <v>179</v>
      </c>
      <c r="B250" s="2" t="s">
        <v>145</v>
      </c>
      <c r="C250" s="2" t="s">
        <v>52</v>
      </c>
      <c r="D250" s="10">
        <v>115</v>
      </c>
      <c r="E250" s="2">
        <v>0</v>
      </c>
      <c r="F250" s="2">
        <v>0</v>
      </c>
      <c r="G250" s="2">
        <v>0</v>
      </c>
      <c r="H250" s="2">
        <v>0</v>
      </c>
      <c r="I250" s="2"/>
      <c r="J250" s="2"/>
      <c r="K250" s="2"/>
      <c r="L250" s="2"/>
      <c r="M250" s="2" t="s">
        <v>283</v>
      </c>
    </row>
    <row r="251" spans="1:13" ht="39.950000000000003" customHeight="1">
      <c r="A251" s="9">
        <v>179</v>
      </c>
      <c r="B251" s="2" t="s">
        <v>145</v>
      </c>
      <c r="C251" s="2" t="s">
        <v>52</v>
      </c>
      <c r="D251" s="10">
        <v>75</v>
      </c>
      <c r="E251" s="2">
        <v>0</v>
      </c>
      <c r="F251" s="2">
        <v>0</v>
      </c>
      <c r="G251" s="2">
        <v>0</v>
      </c>
      <c r="H251" s="2">
        <v>0</v>
      </c>
      <c r="I251" s="2"/>
      <c r="J251" s="2"/>
      <c r="K251" s="2"/>
      <c r="L251" s="2"/>
      <c r="M251" s="2" t="s">
        <v>283</v>
      </c>
    </row>
    <row r="252" spans="1:13" ht="39.950000000000003" customHeight="1">
      <c r="A252" s="9">
        <v>179</v>
      </c>
      <c r="B252" s="2" t="s">
        <v>145</v>
      </c>
      <c r="C252" s="2" t="s">
        <v>52</v>
      </c>
      <c r="D252" s="10">
        <v>83</v>
      </c>
      <c r="E252" s="2">
        <v>0</v>
      </c>
      <c r="F252" s="2">
        <v>0</v>
      </c>
      <c r="G252" s="2">
        <v>0</v>
      </c>
      <c r="H252" s="2">
        <v>0</v>
      </c>
      <c r="I252" s="2"/>
      <c r="J252" s="2"/>
      <c r="K252" s="2"/>
      <c r="L252" s="2"/>
      <c r="M252" s="2" t="s">
        <v>284</v>
      </c>
    </row>
    <row r="253" spans="1:13" ht="39.950000000000003" customHeight="1">
      <c r="A253" s="9">
        <v>180</v>
      </c>
      <c r="B253" s="2" t="s">
        <v>145</v>
      </c>
      <c r="C253" s="2" t="s">
        <v>52</v>
      </c>
      <c r="D253" s="10">
        <v>100</v>
      </c>
      <c r="E253" s="2">
        <v>0</v>
      </c>
      <c r="F253" s="2">
        <v>0</v>
      </c>
      <c r="G253" s="2">
        <v>0</v>
      </c>
      <c r="H253" s="2"/>
      <c r="I253" s="2"/>
      <c r="J253" s="2">
        <v>0</v>
      </c>
      <c r="K253" s="2"/>
      <c r="L253" s="2"/>
      <c r="M253" s="2" t="s">
        <v>285</v>
      </c>
    </row>
    <row r="254" spans="1:13" ht="39.950000000000003" customHeight="1">
      <c r="A254" s="9">
        <v>181</v>
      </c>
      <c r="B254" s="2" t="s">
        <v>145</v>
      </c>
      <c r="C254" s="2" t="s">
        <v>52</v>
      </c>
      <c r="D254" s="10">
        <v>494</v>
      </c>
      <c r="E254" s="2">
        <v>0.04</v>
      </c>
      <c r="F254" s="2">
        <v>0</v>
      </c>
      <c r="G254" s="2">
        <v>0</v>
      </c>
      <c r="H254" s="2">
        <v>0</v>
      </c>
      <c r="I254" s="2">
        <v>0</v>
      </c>
      <c r="J254" s="2">
        <v>0.06</v>
      </c>
      <c r="K254" s="2">
        <v>0.02</v>
      </c>
      <c r="L254" s="2">
        <v>0</v>
      </c>
      <c r="M254" s="2" t="s">
        <v>286</v>
      </c>
    </row>
    <row r="255" spans="1:13" ht="39.950000000000003" customHeight="1">
      <c r="A255" s="9">
        <v>182</v>
      </c>
      <c r="B255" s="2" t="s">
        <v>46</v>
      </c>
      <c r="C255" s="2" t="s">
        <v>14</v>
      </c>
      <c r="D255" s="10">
        <v>8</v>
      </c>
      <c r="E255" s="2">
        <v>0</v>
      </c>
      <c r="F255" s="2">
        <v>0</v>
      </c>
      <c r="G255" s="2"/>
      <c r="H255" s="2">
        <v>0</v>
      </c>
      <c r="I255" s="2">
        <v>0</v>
      </c>
      <c r="J255" s="2"/>
      <c r="K255" s="2">
        <v>0</v>
      </c>
      <c r="L255" s="2">
        <v>0</v>
      </c>
      <c r="M255" s="2" t="s">
        <v>287</v>
      </c>
    </row>
    <row r="256" spans="1:13" ht="39.950000000000003" customHeight="1">
      <c r="A256" s="9">
        <v>183</v>
      </c>
      <c r="B256" s="2" t="s">
        <v>27</v>
      </c>
      <c r="C256" s="2" t="s">
        <v>25</v>
      </c>
      <c r="D256" s="10">
        <v>179</v>
      </c>
      <c r="E256" s="2">
        <v>0.67</v>
      </c>
      <c r="F256" s="2">
        <v>0.56145251396648044</v>
      </c>
      <c r="G256" s="2">
        <v>0</v>
      </c>
      <c r="H256" s="2">
        <v>22.344134078212289</v>
      </c>
      <c r="I256" s="2">
        <v>6.700614525139664</v>
      </c>
      <c r="J256" s="2">
        <v>4.67</v>
      </c>
      <c r="K256" s="2">
        <v>0</v>
      </c>
      <c r="L256" s="2">
        <v>1.6734636871508382</v>
      </c>
      <c r="M256" s="2" t="s">
        <v>288</v>
      </c>
    </row>
    <row r="257" spans="1:13" ht="39.950000000000003" customHeight="1">
      <c r="A257" s="9">
        <v>184</v>
      </c>
      <c r="B257" s="2" t="s">
        <v>46</v>
      </c>
      <c r="C257" s="2" t="s">
        <v>136</v>
      </c>
      <c r="D257" s="10">
        <v>7</v>
      </c>
      <c r="E257" s="2">
        <v>0</v>
      </c>
      <c r="F257" s="2">
        <v>0</v>
      </c>
      <c r="G257" s="2">
        <v>0</v>
      </c>
      <c r="H257" s="2">
        <f>2/7*100</f>
        <v>28.571428571428569</v>
      </c>
      <c r="I257" s="2"/>
      <c r="J257" s="2"/>
      <c r="K257" s="2"/>
      <c r="L257" s="2"/>
      <c r="M257" s="2" t="s">
        <v>289</v>
      </c>
    </row>
    <row r="258" spans="1:13" ht="39.950000000000003" customHeight="1">
      <c r="A258" s="9">
        <v>185</v>
      </c>
      <c r="B258" s="2" t="s">
        <v>27</v>
      </c>
      <c r="C258" s="2" t="s">
        <v>70</v>
      </c>
      <c r="D258" s="10">
        <v>19</v>
      </c>
      <c r="E258" s="2">
        <v>0</v>
      </c>
      <c r="F258" s="2">
        <v>0</v>
      </c>
      <c r="G258" s="2">
        <v>0</v>
      </c>
      <c r="H258" s="2">
        <v>31.58</v>
      </c>
      <c r="I258" s="2">
        <v>0</v>
      </c>
      <c r="J258" s="2">
        <v>0</v>
      </c>
      <c r="K258" s="2"/>
      <c r="L258" s="2"/>
      <c r="M258" s="2" t="s">
        <v>290</v>
      </c>
    </row>
    <row r="259" spans="1:13" ht="39.950000000000003" customHeight="1">
      <c r="A259" s="9">
        <v>185</v>
      </c>
      <c r="B259" s="2" t="s">
        <v>27</v>
      </c>
      <c r="C259" s="2" t="s">
        <v>70</v>
      </c>
      <c r="D259" s="10">
        <v>72</v>
      </c>
      <c r="E259" s="2">
        <v>22.22</v>
      </c>
      <c r="F259" s="2">
        <v>25</v>
      </c>
      <c r="G259" s="2">
        <v>22.22</v>
      </c>
      <c r="H259" s="2">
        <f>100-13.89-36.11</f>
        <v>50</v>
      </c>
      <c r="I259" s="2">
        <v>22.22</v>
      </c>
      <c r="J259" s="2">
        <v>9.7200000000000006</v>
      </c>
      <c r="K259" s="2"/>
      <c r="L259" s="2"/>
      <c r="M259" s="2" t="s">
        <v>290</v>
      </c>
    </row>
    <row r="260" spans="1:13" ht="39.950000000000003" customHeight="1">
      <c r="A260" s="9">
        <v>185</v>
      </c>
      <c r="B260" s="2" t="s">
        <v>27</v>
      </c>
      <c r="C260" s="2" t="s">
        <v>70</v>
      </c>
      <c r="D260" s="10">
        <v>36</v>
      </c>
      <c r="E260" s="2">
        <v>2.78</v>
      </c>
      <c r="F260" s="2">
        <v>0</v>
      </c>
      <c r="G260" s="2">
        <v>0</v>
      </c>
      <c r="H260" s="2">
        <v>52.78</v>
      </c>
      <c r="I260" s="2">
        <v>0</v>
      </c>
      <c r="J260" s="2">
        <v>0</v>
      </c>
      <c r="K260" s="2"/>
      <c r="L260" s="2"/>
      <c r="M260" s="2" t="s">
        <v>290</v>
      </c>
    </row>
    <row r="261" spans="1:13" ht="39.950000000000003" customHeight="1">
      <c r="A261" s="9">
        <v>185</v>
      </c>
      <c r="B261" s="2" t="s">
        <v>27</v>
      </c>
      <c r="C261" s="2" t="s">
        <v>70</v>
      </c>
      <c r="D261" s="10">
        <v>43</v>
      </c>
      <c r="E261" s="2">
        <v>0</v>
      </c>
      <c r="F261" s="2">
        <v>0</v>
      </c>
      <c r="G261" s="2">
        <v>2.27</v>
      </c>
      <c r="H261" s="2">
        <v>88.64</v>
      </c>
      <c r="I261" s="2">
        <v>18.2</v>
      </c>
      <c r="J261" s="2">
        <f>100-95.45</f>
        <v>4.5499999999999972</v>
      </c>
      <c r="K261" s="2"/>
      <c r="L261" s="2"/>
      <c r="M261" s="2" t="s">
        <v>290</v>
      </c>
    </row>
    <row r="262" spans="1:13" ht="39.950000000000003" customHeight="1">
      <c r="A262" s="9">
        <v>186</v>
      </c>
      <c r="B262" s="2" t="s">
        <v>27</v>
      </c>
      <c r="C262" s="2" t="s">
        <v>25</v>
      </c>
      <c r="D262" s="10">
        <v>54</v>
      </c>
      <c r="E262" s="2">
        <v>14.8</v>
      </c>
      <c r="F262" s="2">
        <v>0</v>
      </c>
      <c r="G262" s="2">
        <v>27.8</v>
      </c>
      <c r="H262" s="2">
        <v>33.299999999999997</v>
      </c>
      <c r="I262" s="2">
        <v>3.7</v>
      </c>
      <c r="J262" s="2"/>
      <c r="K262" s="2">
        <v>3.7</v>
      </c>
      <c r="L262" s="2">
        <v>13</v>
      </c>
      <c r="M262" s="2" t="s">
        <v>291</v>
      </c>
    </row>
    <row r="263" spans="1:13" ht="39.950000000000003" customHeight="1">
      <c r="A263" s="9">
        <v>187</v>
      </c>
      <c r="B263" s="2" t="s">
        <v>13</v>
      </c>
      <c r="C263" s="2" t="s">
        <v>14</v>
      </c>
      <c r="D263" s="10">
        <v>52</v>
      </c>
      <c r="E263" s="2">
        <v>0</v>
      </c>
      <c r="F263" s="2">
        <v>0</v>
      </c>
      <c r="G263" s="2">
        <v>0</v>
      </c>
      <c r="H263" s="2">
        <v>15.4</v>
      </c>
      <c r="I263" s="2">
        <v>3.8</v>
      </c>
      <c r="J263" s="2">
        <v>3.8</v>
      </c>
      <c r="K263" s="2">
        <v>0</v>
      </c>
      <c r="L263" s="2">
        <v>11.5</v>
      </c>
      <c r="M263" s="2" t="s">
        <v>292</v>
      </c>
    </row>
    <row r="264" spans="1:13" ht="39.950000000000003" customHeight="1">
      <c r="A264" s="9">
        <v>188</v>
      </c>
      <c r="B264" s="2" t="s">
        <v>27</v>
      </c>
      <c r="C264" s="2" t="s">
        <v>25</v>
      </c>
      <c r="D264" s="10">
        <v>20</v>
      </c>
      <c r="E264" s="2"/>
      <c r="F264" s="2">
        <v>0</v>
      </c>
      <c r="G264" s="2"/>
      <c r="H264" s="2">
        <f>7/20*100</f>
        <v>35</v>
      </c>
      <c r="I264" s="2">
        <f>4/20*100</f>
        <v>20</v>
      </c>
      <c r="J264" s="2"/>
      <c r="K264" s="2">
        <f>1/20*100</f>
        <v>5</v>
      </c>
      <c r="L264" s="2">
        <f>1/20*100</f>
        <v>5</v>
      </c>
      <c r="M264" s="2" t="s">
        <v>293</v>
      </c>
    </row>
    <row r="265" spans="1:13" ht="39.950000000000003" customHeight="1">
      <c r="A265" s="9">
        <v>189</v>
      </c>
      <c r="B265" s="2" t="s">
        <v>61</v>
      </c>
      <c r="C265" s="2" t="s">
        <v>14</v>
      </c>
      <c r="D265" s="10">
        <v>12</v>
      </c>
      <c r="E265" s="2">
        <v>0</v>
      </c>
      <c r="F265" s="2">
        <v>0</v>
      </c>
      <c r="G265" s="2"/>
      <c r="H265" s="2"/>
      <c r="I265" s="2"/>
      <c r="J265" s="2"/>
      <c r="K265" s="2"/>
      <c r="L265" s="2"/>
      <c r="M265" s="2" t="s">
        <v>294</v>
      </c>
    </row>
    <row r="266" spans="1:13" ht="39.950000000000003" customHeight="1">
      <c r="A266" s="9">
        <v>190</v>
      </c>
      <c r="B266" s="2" t="s">
        <v>84</v>
      </c>
      <c r="C266" s="2" t="s">
        <v>70</v>
      </c>
      <c r="D266" s="10">
        <v>32</v>
      </c>
      <c r="E266" s="2"/>
      <c r="F266" s="2">
        <v>52.5</v>
      </c>
      <c r="G266" s="2"/>
      <c r="H266" s="2">
        <v>0</v>
      </c>
      <c r="I266" s="2"/>
      <c r="J266" s="2"/>
      <c r="K266" s="2"/>
      <c r="L266" s="2"/>
      <c r="M266" s="2" t="s">
        <v>295</v>
      </c>
    </row>
    <row r="267" spans="1:13" ht="39.950000000000003" customHeight="1">
      <c r="A267" s="9">
        <v>190</v>
      </c>
      <c r="B267" s="2" t="s">
        <v>84</v>
      </c>
      <c r="C267" s="2" t="s">
        <v>70</v>
      </c>
      <c r="D267" s="10">
        <v>32</v>
      </c>
      <c r="E267" s="2"/>
      <c r="F267" s="2">
        <v>60.87</v>
      </c>
      <c r="G267" s="2"/>
      <c r="H267" s="2">
        <v>4.2</v>
      </c>
      <c r="I267" s="2"/>
      <c r="J267" s="2"/>
      <c r="K267" s="2"/>
      <c r="L267" s="2"/>
      <c r="M267" s="2" t="s">
        <v>295</v>
      </c>
    </row>
    <row r="268" spans="1:13" ht="39.950000000000003" customHeight="1">
      <c r="A268" s="9">
        <v>190</v>
      </c>
      <c r="B268" s="2" t="s">
        <v>84</v>
      </c>
      <c r="C268" s="2" t="s">
        <v>70</v>
      </c>
      <c r="D268" s="10">
        <v>40</v>
      </c>
      <c r="E268" s="2"/>
      <c r="F268" s="2">
        <v>72</v>
      </c>
      <c r="G268" s="2"/>
      <c r="H268" s="2">
        <v>15.63</v>
      </c>
      <c r="I268" s="2"/>
      <c r="J268" s="2"/>
      <c r="K268" s="2"/>
      <c r="L268" s="2"/>
      <c r="M268" s="2" t="s">
        <v>295</v>
      </c>
    </row>
    <row r="269" spans="1:13" ht="39.950000000000003" customHeight="1">
      <c r="A269" s="9">
        <v>190</v>
      </c>
      <c r="B269" s="2" t="s">
        <v>84</v>
      </c>
      <c r="C269" s="2" t="s">
        <v>70</v>
      </c>
      <c r="D269" s="10">
        <v>72</v>
      </c>
      <c r="E269" s="2"/>
      <c r="F269" s="2">
        <v>74.55</v>
      </c>
      <c r="G269" s="2"/>
      <c r="H269" s="2">
        <v>2.64</v>
      </c>
      <c r="I269" s="2"/>
      <c r="J269" s="2"/>
      <c r="K269" s="2"/>
      <c r="L269" s="2"/>
      <c r="M269" s="2" t="s">
        <v>295</v>
      </c>
    </row>
    <row r="270" spans="1:13" ht="39.950000000000003" customHeight="1">
      <c r="A270" s="9">
        <v>190</v>
      </c>
      <c r="B270" s="2" t="s">
        <v>84</v>
      </c>
      <c r="C270" s="2" t="s">
        <v>70</v>
      </c>
      <c r="D270" s="10">
        <v>64</v>
      </c>
      <c r="E270" s="2"/>
      <c r="F270" s="2">
        <v>75.760000000000005</v>
      </c>
      <c r="G270" s="2"/>
      <c r="H270" s="2">
        <v>2.15</v>
      </c>
      <c r="I270" s="2"/>
      <c r="J270" s="2"/>
      <c r="K270" s="2"/>
      <c r="L270" s="2"/>
      <c r="M270" s="2" t="s">
        <v>295</v>
      </c>
    </row>
    <row r="271" spans="1:13" ht="39.950000000000003" customHeight="1">
      <c r="A271" s="9">
        <v>191</v>
      </c>
      <c r="B271" s="1" t="s">
        <v>22</v>
      </c>
      <c r="C271" s="1"/>
      <c r="D271" s="9">
        <v>78</v>
      </c>
      <c r="E271" s="1">
        <v>0</v>
      </c>
      <c r="F271" s="1">
        <v>0</v>
      </c>
      <c r="G271" s="1">
        <v>0</v>
      </c>
      <c r="H271" s="1">
        <v>0</v>
      </c>
      <c r="I271" s="1"/>
      <c r="J271" s="1">
        <f>1/78*100</f>
        <v>1.2820512820512819</v>
      </c>
      <c r="K271" s="1">
        <v>0</v>
      </c>
      <c r="L271" s="1"/>
      <c r="M271" s="1" t="s">
        <v>296</v>
      </c>
    </row>
    <row r="272" spans="1:13" ht="39.950000000000003" customHeight="1">
      <c r="A272" s="9">
        <v>192</v>
      </c>
      <c r="B272" s="1" t="s">
        <v>22</v>
      </c>
      <c r="C272" s="1" t="s">
        <v>25</v>
      </c>
      <c r="D272" s="9">
        <v>113</v>
      </c>
      <c r="E272" s="1"/>
      <c r="F272" s="1"/>
      <c r="G272" s="1"/>
      <c r="H272" s="1"/>
      <c r="I272" s="1"/>
      <c r="J272" s="1">
        <v>8.85</v>
      </c>
      <c r="K272" s="1"/>
      <c r="L272" s="1"/>
      <c r="M272" s="1" t="s">
        <v>297</v>
      </c>
    </row>
    <row r="273" spans="1:13" ht="39.950000000000003" customHeight="1">
      <c r="A273" s="9">
        <v>193</v>
      </c>
      <c r="B273" s="2" t="s">
        <v>22</v>
      </c>
      <c r="C273" s="2" t="s">
        <v>62</v>
      </c>
      <c r="D273" s="10">
        <v>11</v>
      </c>
      <c r="E273" s="2">
        <v>0</v>
      </c>
      <c r="F273" s="2">
        <v>0</v>
      </c>
      <c r="G273" s="2">
        <v>0</v>
      </c>
      <c r="H273" s="2"/>
      <c r="I273" s="2"/>
      <c r="J273" s="2"/>
      <c r="K273" s="2">
        <v>0</v>
      </c>
      <c r="L273" s="2"/>
      <c r="M273" s="2" t="s">
        <v>298</v>
      </c>
    </row>
    <row r="274" spans="1:13" ht="39.950000000000003" customHeight="1">
      <c r="A274" s="9">
        <v>194</v>
      </c>
      <c r="B274" s="2" t="s">
        <v>213</v>
      </c>
      <c r="C274" s="1" t="s">
        <v>36</v>
      </c>
      <c r="D274" s="10">
        <v>21</v>
      </c>
      <c r="E274" s="2"/>
      <c r="F274" s="2">
        <f>13/21*100</f>
        <v>61.904761904761905</v>
      </c>
      <c r="G274" s="2">
        <f>16/21*100</f>
        <v>76.19047619047619</v>
      </c>
      <c r="H274" s="2">
        <f>11/13*100</f>
        <v>84.615384615384613</v>
      </c>
      <c r="I274" s="2">
        <f>6/21*100</f>
        <v>28.571428571428569</v>
      </c>
      <c r="J274" s="2">
        <v>0</v>
      </c>
      <c r="K274" s="2">
        <v>0</v>
      </c>
      <c r="L274" s="2"/>
      <c r="M274" s="2" t="s">
        <v>299</v>
      </c>
    </row>
    <row r="275" spans="1:13" ht="39.950000000000003" customHeight="1">
      <c r="A275" s="9">
        <v>195</v>
      </c>
      <c r="B275" s="2" t="s">
        <v>107</v>
      </c>
      <c r="C275" s="2" t="s">
        <v>14</v>
      </c>
      <c r="D275" s="10">
        <v>91</v>
      </c>
      <c r="E275" s="2">
        <v>0</v>
      </c>
      <c r="F275" s="2">
        <v>0</v>
      </c>
      <c r="G275" s="2">
        <f>2/91*100</f>
        <v>2.197802197802198</v>
      </c>
      <c r="H275" s="2">
        <v>0</v>
      </c>
      <c r="I275" s="2">
        <v>0</v>
      </c>
      <c r="J275" s="2">
        <f>3/91*100</f>
        <v>3.296703296703297</v>
      </c>
      <c r="K275" s="2">
        <v>0</v>
      </c>
      <c r="L275" s="2">
        <v>0</v>
      </c>
      <c r="M275" s="2" t="s">
        <v>300</v>
      </c>
    </row>
    <row r="276" spans="1:13" ht="39.950000000000003" customHeight="1">
      <c r="A276" s="9">
        <v>196</v>
      </c>
      <c r="B276" s="2" t="s">
        <v>84</v>
      </c>
      <c r="C276" s="1"/>
      <c r="D276" s="9">
        <v>48</v>
      </c>
      <c r="E276" s="1"/>
      <c r="F276" s="1">
        <v>0</v>
      </c>
      <c r="G276" s="1"/>
      <c r="H276" s="1">
        <v>0</v>
      </c>
      <c r="I276" s="1">
        <v>0</v>
      </c>
      <c r="J276" s="1"/>
      <c r="K276" s="1">
        <v>0</v>
      </c>
      <c r="L276" s="1">
        <v>0</v>
      </c>
      <c r="M276" s="1" t="s">
        <v>301</v>
      </c>
    </row>
    <row r="277" spans="1:13" ht="39.950000000000003" customHeight="1">
      <c r="A277" s="9">
        <v>197</v>
      </c>
      <c r="B277" s="2" t="s">
        <v>107</v>
      </c>
      <c r="C277" s="2" t="s">
        <v>14</v>
      </c>
      <c r="D277" s="10">
        <v>95</v>
      </c>
      <c r="E277" s="2">
        <v>37</v>
      </c>
      <c r="F277" s="2">
        <v>0</v>
      </c>
      <c r="G277" s="2">
        <v>0</v>
      </c>
      <c r="H277" s="2">
        <v>6</v>
      </c>
      <c r="I277" s="2"/>
      <c r="J277" s="2"/>
      <c r="K277" s="2"/>
      <c r="L277" s="2">
        <v>11</v>
      </c>
      <c r="M277" s="2" t="s">
        <v>302</v>
      </c>
    </row>
    <row r="278" spans="1:13" ht="39.950000000000003" customHeight="1">
      <c r="A278" s="9">
        <v>197</v>
      </c>
      <c r="B278" s="2" t="s">
        <v>107</v>
      </c>
      <c r="C278" s="2" t="s">
        <v>14</v>
      </c>
      <c r="D278" s="10">
        <v>95</v>
      </c>
      <c r="E278" s="2">
        <v>49</v>
      </c>
      <c r="F278" s="2">
        <v>32</v>
      </c>
      <c r="G278" s="2">
        <v>0</v>
      </c>
      <c r="H278" s="2">
        <v>12</v>
      </c>
      <c r="I278" s="2"/>
      <c r="J278" s="2"/>
      <c r="K278" s="2"/>
      <c r="L278" s="2">
        <v>16</v>
      </c>
      <c r="M278" s="2" t="s">
        <v>302</v>
      </c>
    </row>
    <row r="279" spans="1:13" ht="39.950000000000003" customHeight="1">
      <c r="A279" s="9">
        <v>198</v>
      </c>
      <c r="B279" s="2" t="s">
        <v>107</v>
      </c>
      <c r="C279" s="2" t="s">
        <v>25</v>
      </c>
      <c r="D279" s="10">
        <v>21</v>
      </c>
      <c r="E279" s="2">
        <v>57</v>
      </c>
      <c r="F279" s="2">
        <v>38</v>
      </c>
      <c r="G279" s="2">
        <v>43</v>
      </c>
      <c r="H279" s="2">
        <v>0</v>
      </c>
      <c r="I279" s="2"/>
      <c r="J279" s="2">
        <v>4.8</v>
      </c>
      <c r="K279" s="2"/>
      <c r="L279" s="2"/>
      <c r="M279" s="2" t="s">
        <v>303</v>
      </c>
    </row>
    <row r="280" spans="1:13" ht="39.950000000000003" customHeight="1">
      <c r="A280" s="9">
        <v>199</v>
      </c>
      <c r="B280" s="2" t="s">
        <v>82</v>
      </c>
      <c r="C280" s="2" t="s">
        <v>36</v>
      </c>
      <c r="D280" s="10">
        <v>27</v>
      </c>
      <c r="E280" s="2">
        <f>1/27*100</f>
        <v>3.7037037037037033</v>
      </c>
      <c r="F280" s="2">
        <f>10/27*100</f>
        <v>37.037037037037038</v>
      </c>
      <c r="G280" s="2">
        <f>7/27*100</f>
        <v>25.925925925925924</v>
      </c>
      <c r="H280" s="2">
        <v>100</v>
      </c>
      <c r="I280" s="2"/>
      <c r="J280" s="2"/>
      <c r="K280" s="2"/>
      <c r="L280" s="2"/>
      <c r="M280" s="2" t="s">
        <v>304</v>
      </c>
    </row>
    <row r="281" spans="1:13" ht="39.950000000000003" customHeight="1">
      <c r="A281" s="9">
        <v>200</v>
      </c>
      <c r="B281" s="2" t="s">
        <v>145</v>
      </c>
      <c r="C281" s="2" t="s">
        <v>62</v>
      </c>
      <c r="D281" s="10">
        <v>25</v>
      </c>
      <c r="E281" s="2">
        <v>0</v>
      </c>
      <c r="F281" s="2">
        <v>0</v>
      </c>
      <c r="G281" s="2">
        <v>0</v>
      </c>
      <c r="H281" s="2">
        <v>0</v>
      </c>
      <c r="I281" s="2">
        <v>0</v>
      </c>
      <c r="J281" s="2">
        <v>0</v>
      </c>
      <c r="K281" s="2">
        <v>0</v>
      </c>
      <c r="L281" s="2">
        <v>0</v>
      </c>
      <c r="M281" s="2" t="s">
        <v>305</v>
      </c>
    </row>
    <row r="282" spans="1:13" ht="39.950000000000003" customHeight="1">
      <c r="A282" s="9">
        <v>200</v>
      </c>
      <c r="B282" s="2" t="s">
        <v>145</v>
      </c>
      <c r="C282" s="2" t="s">
        <v>62</v>
      </c>
      <c r="D282" s="10">
        <v>27</v>
      </c>
      <c r="E282" s="2">
        <v>3.7</v>
      </c>
      <c r="F282" s="2">
        <v>0</v>
      </c>
      <c r="G282" s="2">
        <v>0</v>
      </c>
      <c r="H282" s="2">
        <v>3.7</v>
      </c>
      <c r="I282" s="2">
        <v>0</v>
      </c>
      <c r="J282" s="2">
        <v>11.1</v>
      </c>
      <c r="K282" s="2">
        <v>3.7</v>
      </c>
      <c r="L282" s="2">
        <v>0</v>
      </c>
      <c r="M282" s="2" t="s">
        <v>305</v>
      </c>
    </row>
    <row r="283" spans="1:13" ht="39.950000000000003" customHeight="1">
      <c r="A283" s="9">
        <v>201</v>
      </c>
      <c r="B283" s="2" t="s">
        <v>87</v>
      </c>
      <c r="C283" s="2" t="s">
        <v>14</v>
      </c>
      <c r="D283" s="10">
        <v>1187</v>
      </c>
      <c r="E283" s="2">
        <v>1.1000000000000001</v>
      </c>
      <c r="F283" s="2">
        <f>1.64+0.9+1.06</f>
        <v>3.6</v>
      </c>
      <c r="G283" s="2">
        <f>18.57+4.47+2.64</f>
        <v>25.68</v>
      </c>
      <c r="H283" s="2">
        <v>0.91</v>
      </c>
      <c r="I283" s="2">
        <v>0.01</v>
      </c>
      <c r="J283" s="2"/>
      <c r="K283" s="2">
        <v>0</v>
      </c>
      <c r="L283" s="2"/>
      <c r="M283" s="2" t="s">
        <v>306</v>
      </c>
    </row>
    <row r="284" spans="1:13" ht="39.950000000000003" customHeight="1">
      <c r="A284" s="9">
        <v>202</v>
      </c>
      <c r="B284" s="2" t="s">
        <v>84</v>
      </c>
      <c r="C284" s="2" t="s">
        <v>14</v>
      </c>
      <c r="D284" s="10">
        <v>54</v>
      </c>
      <c r="E284" s="2"/>
      <c r="F284" s="2">
        <v>0</v>
      </c>
      <c r="G284" s="2"/>
      <c r="H284" s="2">
        <v>0</v>
      </c>
      <c r="I284" s="2">
        <v>0</v>
      </c>
      <c r="J284" s="2"/>
      <c r="K284" s="2">
        <v>0</v>
      </c>
      <c r="L284" s="2">
        <v>0</v>
      </c>
      <c r="M284" s="2" t="s">
        <v>307</v>
      </c>
    </row>
    <row r="285" spans="1:13" ht="39.950000000000003" customHeight="1">
      <c r="A285" s="9">
        <v>203</v>
      </c>
      <c r="B285" s="2" t="s">
        <v>18</v>
      </c>
      <c r="C285" s="2" t="s">
        <v>14</v>
      </c>
      <c r="D285" s="10">
        <v>7</v>
      </c>
      <c r="E285" s="2">
        <v>0</v>
      </c>
      <c r="F285" s="2">
        <v>0</v>
      </c>
      <c r="G285" s="2"/>
      <c r="H285" s="2">
        <v>0</v>
      </c>
      <c r="I285" s="2">
        <v>0</v>
      </c>
      <c r="J285" s="2">
        <v>0</v>
      </c>
      <c r="K285" s="2">
        <v>0</v>
      </c>
      <c r="L285" s="2">
        <v>0</v>
      </c>
      <c r="M285" s="2" t="s">
        <v>308</v>
      </c>
    </row>
    <row r="286" spans="1:13" ht="39.950000000000003" customHeight="1">
      <c r="A286" s="9">
        <v>203</v>
      </c>
      <c r="B286" s="2" t="s">
        <v>18</v>
      </c>
      <c r="C286" s="2" t="s">
        <v>14</v>
      </c>
      <c r="D286" s="10">
        <v>7</v>
      </c>
      <c r="E286" s="2">
        <f>1/7*100</f>
        <v>14.285714285714285</v>
      </c>
      <c r="F286" s="2">
        <v>0</v>
      </c>
      <c r="G286" s="2"/>
      <c r="H286" s="2">
        <f>1/7*100</f>
        <v>14.285714285714285</v>
      </c>
      <c r="I286" s="2">
        <v>0</v>
      </c>
      <c r="J286" s="2">
        <v>0</v>
      </c>
      <c r="K286" s="2">
        <v>0</v>
      </c>
      <c r="L286" s="2">
        <f>1/7*100</f>
        <v>14.285714285714285</v>
      </c>
      <c r="M286" s="2" t="s">
        <v>308</v>
      </c>
    </row>
    <row r="287" spans="1:13" ht="39.950000000000003" customHeight="1">
      <c r="A287" s="9">
        <v>204</v>
      </c>
      <c r="B287" s="2" t="s">
        <v>18</v>
      </c>
      <c r="C287" s="2" t="s">
        <v>25</v>
      </c>
      <c r="D287" s="10">
        <v>14</v>
      </c>
      <c r="E287" s="2"/>
      <c r="F287" s="2"/>
      <c r="G287" s="2"/>
      <c r="H287" s="2">
        <v>100</v>
      </c>
      <c r="I287" s="2"/>
      <c r="J287" s="2"/>
      <c r="K287" s="2"/>
      <c r="L287" s="2"/>
      <c r="M287" s="2" t="s">
        <v>309</v>
      </c>
    </row>
    <row r="288" spans="1:13" ht="39.950000000000003" customHeight="1">
      <c r="A288" s="9">
        <v>205</v>
      </c>
      <c r="B288" s="2" t="s">
        <v>51</v>
      </c>
      <c r="C288" s="2" t="s">
        <v>310</v>
      </c>
      <c r="D288" s="10">
        <v>3</v>
      </c>
      <c r="E288" s="2">
        <v>0</v>
      </c>
      <c r="F288" s="2">
        <v>0</v>
      </c>
      <c r="G288" s="2"/>
      <c r="H288" s="2">
        <v>0</v>
      </c>
      <c r="I288" s="2">
        <v>0</v>
      </c>
      <c r="J288" s="2"/>
      <c r="K288" s="2"/>
      <c r="L288" s="2"/>
      <c r="M288" s="2" t="s">
        <v>311</v>
      </c>
    </row>
    <row r="289" spans="1:13" ht="39.950000000000003" customHeight="1">
      <c r="A289" s="9">
        <v>206</v>
      </c>
      <c r="B289" s="2" t="s">
        <v>51</v>
      </c>
      <c r="C289" s="2" t="s">
        <v>70</v>
      </c>
      <c r="D289" s="10">
        <v>97</v>
      </c>
      <c r="E289" s="2">
        <f>1.39*72/(72+25)</f>
        <v>1.0317525773195877</v>
      </c>
      <c r="F289" s="2">
        <v>0</v>
      </c>
      <c r="G289" s="2">
        <v>0</v>
      </c>
      <c r="H289" s="2">
        <f>(66.7+5.56*72)/97</f>
        <v>4.8146391752577316</v>
      </c>
      <c r="I289" s="2">
        <v>0</v>
      </c>
      <c r="J289" s="2"/>
      <c r="K289" s="2"/>
      <c r="L289" s="2">
        <v>0</v>
      </c>
      <c r="M289" s="2" t="s">
        <v>312</v>
      </c>
    </row>
    <row r="290" spans="1:13" ht="39.950000000000003" customHeight="1">
      <c r="A290" s="9">
        <v>207</v>
      </c>
      <c r="B290" s="1" t="s">
        <v>51</v>
      </c>
      <c r="C290" s="1" t="s">
        <v>52</v>
      </c>
      <c r="D290" s="9">
        <v>85</v>
      </c>
      <c r="E290" s="1"/>
      <c r="F290" s="1">
        <v>0</v>
      </c>
      <c r="G290" s="1"/>
      <c r="H290" s="1">
        <v>2.3529411764705883</v>
      </c>
      <c r="I290" s="1">
        <v>0</v>
      </c>
      <c r="J290" s="1"/>
      <c r="K290" s="1"/>
      <c r="L290" s="1">
        <v>0</v>
      </c>
      <c r="M290" s="1" t="s">
        <v>313</v>
      </c>
    </row>
    <row r="291" spans="1:13" ht="39.950000000000003" customHeight="1">
      <c r="A291" s="9">
        <v>208</v>
      </c>
      <c r="B291" s="4" t="s">
        <v>51</v>
      </c>
      <c r="C291" s="4"/>
      <c r="D291" s="13">
        <v>50</v>
      </c>
      <c r="E291" s="4">
        <v>0</v>
      </c>
      <c r="F291" s="4">
        <v>0</v>
      </c>
      <c r="G291" s="4">
        <v>0</v>
      </c>
      <c r="H291" s="4">
        <v>0</v>
      </c>
      <c r="I291" s="4"/>
      <c r="J291" s="4">
        <v>0</v>
      </c>
      <c r="K291" s="4">
        <v>0</v>
      </c>
      <c r="L291" s="4"/>
      <c r="M291" s="1" t="s">
        <v>314</v>
      </c>
    </row>
    <row r="292" spans="1:13" ht="39.950000000000003" customHeight="1">
      <c r="A292" s="9">
        <v>208</v>
      </c>
      <c r="B292" s="4" t="s">
        <v>51</v>
      </c>
      <c r="C292" s="4"/>
      <c r="D292" s="13">
        <v>70</v>
      </c>
      <c r="E292" s="4">
        <v>0</v>
      </c>
      <c r="F292" s="4">
        <v>0</v>
      </c>
      <c r="G292" s="4">
        <v>0</v>
      </c>
      <c r="H292" s="4">
        <v>0.67</v>
      </c>
      <c r="I292" s="4"/>
      <c r="J292" s="4">
        <v>0</v>
      </c>
      <c r="K292" s="4">
        <v>0</v>
      </c>
      <c r="L292" s="4"/>
      <c r="M292" s="1" t="s">
        <v>314</v>
      </c>
    </row>
    <row r="293" spans="1:13" ht="39.950000000000003" customHeight="1">
      <c r="A293" s="9">
        <v>209</v>
      </c>
      <c r="B293" s="2" t="s">
        <v>51</v>
      </c>
      <c r="C293" s="2" t="s">
        <v>52</v>
      </c>
      <c r="D293" s="10">
        <v>144</v>
      </c>
      <c r="E293" s="2">
        <v>0</v>
      </c>
      <c r="F293" s="2">
        <v>0</v>
      </c>
      <c r="G293" s="2">
        <v>0</v>
      </c>
      <c r="H293" s="2">
        <v>0</v>
      </c>
      <c r="I293" s="2">
        <v>0</v>
      </c>
      <c r="J293" s="2">
        <v>0</v>
      </c>
      <c r="K293" s="2">
        <v>0</v>
      </c>
      <c r="L293" s="2">
        <v>0</v>
      </c>
      <c r="M293" s="2" t="s">
        <v>315</v>
      </c>
    </row>
    <row r="294" spans="1:13" ht="39.950000000000003" customHeight="1">
      <c r="A294" s="9">
        <v>210</v>
      </c>
      <c r="B294" s="2" t="s">
        <v>145</v>
      </c>
      <c r="C294" s="2" t="s">
        <v>14</v>
      </c>
      <c r="D294" s="10">
        <v>156</v>
      </c>
      <c r="E294" s="2">
        <v>0</v>
      </c>
      <c r="F294" s="2">
        <v>0</v>
      </c>
      <c r="G294" s="2"/>
      <c r="H294" s="2"/>
      <c r="I294" s="2"/>
      <c r="J294" s="2"/>
      <c r="K294" s="2">
        <v>0</v>
      </c>
      <c r="L294" s="2">
        <v>0</v>
      </c>
      <c r="M294" s="2" t="s">
        <v>316</v>
      </c>
    </row>
    <row r="295" spans="1:13" ht="39.950000000000003" customHeight="1">
      <c r="A295" s="9">
        <v>211</v>
      </c>
      <c r="B295" s="2" t="s">
        <v>87</v>
      </c>
      <c r="C295" s="2" t="s">
        <v>14</v>
      </c>
      <c r="D295" s="10">
        <v>7</v>
      </c>
      <c r="E295" s="2"/>
      <c r="F295" s="2"/>
      <c r="G295" s="2"/>
      <c r="H295" s="2"/>
      <c r="I295" s="2">
        <f>2/7*100</f>
        <v>28.571428571428569</v>
      </c>
      <c r="J295" s="2"/>
      <c r="K295" s="2"/>
      <c r="L295" s="2"/>
      <c r="M295" s="2" t="s">
        <v>317</v>
      </c>
    </row>
    <row r="296" spans="1:13" ht="39.950000000000003" customHeight="1">
      <c r="A296" s="9">
        <v>212</v>
      </c>
      <c r="B296" s="2" t="s">
        <v>30</v>
      </c>
      <c r="C296" s="2" t="s">
        <v>14</v>
      </c>
      <c r="D296" s="10">
        <v>157</v>
      </c>
      <c r="E296" s="2">
        <v>0</v>
      </c>
      <c r="F296" s="2">
        <v>0</v>
      </c>
      <c r="G296" s="2">
        <v>0</v>
      </c>
      <c r="H296" s="2">
        <v>3.2</v>
      </c>
      <c r="I296" s="2">
        <v>0</v>
      </c>
      <c r="J296" s="2"/>
      <c r="K296" s="2">
        <v>2.25</v>
      </c>
      <c r="L296" s="2">
        <v>0.6</v>
      </c>
      <c r="M296" s="2" t="s">
        <v>318</v>
      </c>
    </row>
    <row r="297" spans="1:13" ht="39.950000000000003" customHeight="1">
      <c r="A297" s="9">
        <v>213</v>
      </c>
      <c r="B297" s="2" t="s">
        <v>145</v>
      </c>
      <c r="C297" s="2" t="s">
        <v>14</v>
      </c>
      <c r="D297" s="10">
        <v>174</v>
      </c>
      <c r="E297" s="2"/>
      <c r="F297" s="2">
        <v>0</v>
      </c>
      <c r="G297" s="2"/>
      <c r="H297" s="2">
        <v>0</v>
      </c>
      <c r="I297" s="2">
        <v>0</v>
      </c>
      <c r="J297" s="2">
        <v>0</v>
      </c>
      <c r="K297" s="2"/>
      <c r="L297" s="2">
        <v>0</v>
      </c>
      <c r="M297" s="2" t="s">
        <v>319</v>
      </c>
    </row>
    <row r="298" spans="1:13" ht="39.950000000000003" customHeight="1">
      <c r="A298" s="9">
        <v>214</v>
      </c>
      <c r="B298" s="2" t="s">
        <v>13</v>
      </c>
      <c r="C298" s="2" t="s">
        <v>14</v>
      </c>
      <c r="D298" s="10">
        <v>80</v>
      </c>
      <c r="E298" s="2">
        <v>18.8</v>
      </c>
      <c r="F298" s="2">
        <v>0</v>
      </c>
      <c r="G298" s="2">
        <v>6.3</v>
      </c>
      <c r="H298" s="2">
        <v>3.8</v>
      </c>
      <c r="I298" s="2">
        <v>0</v>
      </c>
      <c r="J298" s="2">
        <v>63.8</v>
      </c>
      <c r="K298" s="2">
        <v>0</v>
      </c>
      <c r="L298" s="2"/>
      <c r="M298" s="2" t="s">
        <v>320</v>
      </c>
    </row>
    <row r="299" spans="1:13" ht="39.950000000000003" customHeight="1">
      <c r="A299" s="9">
        <v>215</v>
      </c>
      <c r="B299" s="2" t="s">
        <v>107</v>
      </c>
      <c r="C299" s="2" t="s">
        <v>52</v>
      </c>
      <c r="D299" s="10">
        <v>414</v>
      </c>
      <c r="E299" s="2"/>
      <c r="F299" s="2">
        <v>0</v>
      </c>
      <c r="G299" s="2"/>
      <c r="H299" s="2">
        <v>9.4</v>
      </c>
      <c r="I299" s="2">
        <v>0</v>
      </c>
      <c r="J299" s="2"/>
      <c r="K299" s="2">
        <v>0</v>
      </c>
      <c r="L299" s="2">
        <v>0</v>
      </c>
      <c r="M299" s="2" t="s">
        <v>321</v>
      </c>
    </row>
    <row r="300" spans="1:13" ht="39.950000000000003" customHeight="1">
      <c r="A300" s="9">
        <v>216</v>
      </c>
      <c r="B300" s="2" t="s">
        <v>18</v>
      </c>
      <c r="C300" s="2" t="s">
        <v>14</v>
      </c>
      <c r="D300" s="10">
        <v>1282</v>
      </c>
      <c r="E300" s="2">
        <f>1/1282*100</f>
        <v>7.8003120124804995E-2</v>
      </c>
      <c r="F300" s="2">
        <v>0</v>
      </c>
      <c r="G300" s="2">
        <f>1/1282*100</f>
        <v>7.8003120124804995E-2</v>
      </c>
      <c r="H300" s="2">
        <f>22/1282*100</f>
        <v>1.7160686427457099</v>
      </c>
      <c r="I300" s="2">
        <f>1/1282*100</f>
        <v>7.8003120124804995E-2</v>
      </c>
      <c r="J300" s="2">
        <f>1/1282*100</f>
        <v>7.8003120124804995E-2</v>
      </c>
      <c r="K300" s="2">
        <v>0</v>
      </c>
      <c r="L300" s="2">
        <f>16/1282*100</f>
        <v>1.2480499219968799</v>
      </c>
      <c r="M300" s="2" t="s">
        <v>322</v>
      </c>
    </row>
    <row r="301" spans="1:13" ht="39.950000000000003" customHeight="1">
      <c r="A301" s="9">
        <v>217</v>
      </c>
      <c r="B301" s="2" t="s">
        <v>18</v>
      </c>
      <c r="C301" s="2"/>
      <c r="D301" s="10">
        <v>3121</v>
      </c>
      <c r="E301" s="2">
        <v>2.4</v>
      </c>
      <c r="F301" s="2">
        <v>0.16</v>
      </c>
      <c r="G301" s="2">
        <v>0.7</v>
      </c>
      <c r="H301" s="2">
        <v>4.3600000000000003</v>
      </c>
      <c r="I301" s="2">
        <v>0.28999999999999998</v>
      </c>
      <c r="J301" s="2"/>
      <c r="K301" s="2"/>
      <c r="L301" s="2">
        <v>21.5</v>
      </c>
      <c r="M301" s="2" t="s">
        <v>323</v>
      </c>
    </row>
    <row r="302" spans="1:13" ht="39.950000000000003" customHeight="1">
      <c r="A302" s="9">
        <v>218</v>
      </c>
      <c r="B302" s="2" t="s">
        <v>18</v>
      </c>
      <c r="C302" s="2" t="s">
        <v>14</v>
      </c>
      <c r="D302" s="10">
        <v>149</v>
      </c>
      <c r="E302" s="2"/>
      <c r="F302" s="2">
        <f>0</f>
        <v>0</v>
      </c>
      <c r="G302" s="2"/>
      <c r="H302" s="2"/>
      <c r="I302" s="2">
        <v>0</v>
      </c>
      <c r="J302" s="2"/>
      <c r="K302" s="2"/>
      <c r="L302" s="2"/>
      <c r="M302" s="2" t="s">
        <v>324</v>
      </c>
    </row>
    <row r="303" spans="1:13" ht="39.950000000000003" customHeight="1">
      <c r="A303" s="9">
        <v>218</v>
      </c>
      <c r="B303" s="2" t="s">
        <v>18</v>
      </c>
      <c r="C303" s="2" t="s">
        <v>14</v>
      </c>
      <c r="D303" s="10">
        <v>100</v>
      </c>
      <c r="E303" s="2"/>
      <c r="F303" s="2">
        <f>2</f>
        <v>2</v>
      </c>
      <c r="G303" s="2"/>
      <c r="H303" s="2"/>
      <c r="I303" s="2">
        <v>0</v>
      </c>
      <c r="J303" s="2"/>
      <c r="K303" s="2"/>
      <c r="L303" s="2"/>
      <c r="M303" s="2" t="s">
        <v>324</v>
      </c>
    </row>
    <row r="304" spans="1:13" ht="39.950000000000003" customHeight="1">
      <c r="A304" s="9">
        <v>218</v>
      </c>
      <c r="B304" s="2" t="s">
        <v>18</v>
      </c>
      <c r="C304" s="2" t="s">
        <v>25</v>
      </c>
      <c r="D304" s="10">
        <v>29</v>
      </c>
      <c r="E304" s="2"/>
      <c r="F304" s="2">
        <f>2/29*100</f>
        <v>6.8965517241379306</v>
      </c>
      <c r="G304" s="2"/>
      <c r="H304" s="2"/>
      <c r="I304" s="2">
        <v>0</v>
      </c>
      <c r="J304" s="2"/>
      <c r="K304" s="2"/>
      <c r="L304" s="2"/>
      <c r="M304" s="2" t="s">
        <v>324</v>
      </c>
    </row>
    <row r="305" spans="1:13" ht="39.950000000000003" customHeight="1">
      <c r="A305" s="9">
        <v>218</v>
      </c>
      <c r="B305" s="2" t="s">
        <v>18</v>
      </c>
      <c r="C305" s="2" t="s">
        <v>14</v>
      </c>
      <c r="D305" s="10">
        <v>72</v>
      </c>
      <c r="E305" s="2"/>
      <c r="F305" s="2">
        <f>8/72*100</f>
        <v>11.111111111111111</v>
      </c>
      <c r="G305" s="2"/>
      <c r="H305" s="2"/>
      <c r="I305" s="2">
        <v>0</v>
      </c>
      <c r="J305" s="2"/>
      <c r="K305" s="2"/>
      <c r="L305" s="2"/>
      <c r="M305" s="2" t="s">
        <v>324</v>
      </c>
    </row>
    <row r="306" spans="1:13" ht="39.950000000000003" customHeight="1">
      <c r="A306" s="9">
        <v>218</v>
      </c>
      <c r="B306" s="2" t="s">
        <v>18</v>
      </c>
      <c r="C306" s="2" t="s">
        <v>14</v>
      </c>
      <c r="D306" s="10">
        <v>187</v>
      </c>
      <c r="E306" s="2"/>
      <c r="F306" s="2">
        <f>36/187*100</f>
        <v>19.251336898395721</v>
      </c>
      <c r="G306" s="2"/>
      <c r="H306" s="2"/>
      <c r="I306" s="2">
        <v>0</v>
      </c>
      <c r="J306" s="2"/>
      <c r="K306" s="2"/>
      <c r="L306" s="2"/>
      <c r="M306" s="2" t="s">
        <v>324</v>
      </c>
    </row>
    <row r="307" spans="1:13" ht="39.950000000000003" customHeight="1">
      <c r="A307" s="9">
        <v>218</v>
      </c>
      <c r="B307" s="2" t="s">
        <v>18</v>
      </c>
      <c r="C307" s="2" t="s">
        <v>14</v>
      </c>
      <c r="D307" s="10">
        <v>190</v>
      </c>
      <c r="E307" s="2"/>
      <c r="F307" s="2">
        <f>39/190*100</f>
        <v>20.526315789473685</v>
      </c>
      <c r="G307" s="2"/>
      <c r="H307" s="2"/>
      <c r="I307" s="2">
        <f>3/187*100</f>
        <v>1.6042780748663104</v>
      </c>
      <c r="J307" s="2"/>
      <c r="K307" s="2"/>
      <c r="L307" s="2"/>
      <c r="M307" s="2" t="s">
        <v>324</v>
      </c>
    </row>
    <row r="308" spans="1:13" ht="39.950000000000003" customHeight="1">
      <c r="A308" s="9">
        <v>218</v>
      </c>
      <c r="B308" s="2" t="s">
        <v>18</v>
      </c>
      <c r="C308" s="2" t="s">
        <v>14</v>
      </c>
      <c r="D308" s="10">
        <v>179</v>
      </c>
      <c r="E308" s="2"/>
      <c r="F308" s="2">
        <f>50/179*100</f>
        <v>27.932960893854748</v>
      </c>
      <c r="G308" s="2"/>
      <c r="H308" s="2"/>
      <c r="I308" s="2">
        <f>40/139*100</f>
        <v>28.776978417266186</v>
      </c>
      <c r="J308" s="2"/>
      <c r="K308" s="2"/>
      <c r="L308" s="2"/>
      <c r="M308" s="2" t="s">
        <v>324</v>
      </c>
    </row>
    <row r="309" spans="1:13" ht="39.950000000000003" customHeight="1">
      <c r="A309" s="9">
        <v>219</v>
      </c>
      <c r="B309" s="2" t="s">
        <v>18</v>
      </c>
      <c r="C309" s="2" t="s">
        <v>14</v>
      </c>
      <c r="D309" s="10">
        <v>24186</v>
      </c>
      <c r="E309" s="2">
        <f>0.01+1.96</f>
        <v>1.97</v>
      </c>
      <c r="F309" s="2">
        <f>0.04</f>
        <v>0.04</v>
      </c>
      <c r="G309" s="2">
        <v>0.18</v>
      </c>
      <c r="H309" s="2">
        <v>1.3</v>
      </c>
      <c r="I309" s="2">
        <v>0.64</v>
      </c>
      <c r="J309" s="2">
        <v>2.91</v>
      </c>
      <c r="K309" s="2">
        <v>0.41</v>
      </c>
      <c r="L309" s="2">
        <v>2.0699999999999998</v>
      </c>
      <c r="M309" s="2" t="s">
        <v>325</v>
      </c>
    </row>
    <row r="310" spans="1:13" ht="39.950000000000003" customHeight="1">
      <c r="A310" s="9">
        <v>220</v>
      </c>
      <c r="B310" s="2" t="s">
        <v>90</v>
      </c>
      <c r="C310" s="2" t="s">
        <v>14</v>
      </c>
      <c r="D310" s="10">
        <v>919</v>
      </c>
      <c r="E310" s="2">
        <f>18.61+1.96</f>
        <v>20.57</v>
      </c>
      <c r="F310" s="2">
        <v>1.42</v>
      </c>
      <c r="G310" s="2">
        <v>2.72</v>
      </c>
      <c r="H310" s="2">
        <f>16.54+3.48</f>
        <v>20.02</v>
      </c>
      <c r="I310" s="2"/>
      <c r="J310" s="2"/>
      <c r="K310" s="2">
        <v>0.44</v>
      </c>
      <c r="L310" s="2"/>
      <c r="M310" s="2" t="s">
        <v>326</v>
      </c>
    </row>
    <row r="311" spans="1:13" ht="39.950000000000003" customHeight="1">
      <c r="A311" s="9">
        <v>221</v>
      </c>
      <c r="B311" s="2" t="s">
        <v>90</v>
      </c>
      <c r="C311" s="2" t="s">
        <v>14</v>
      </c>
      <c r="D311" s="10">
        <v>48</v>
      </c>
      <c r="E311" s="2">
        <f>1/48*100</f>
        <v>2.083333333333333</v>
      </c>
      <c r="F311" s="2"/>
      <c r="G311" s="2"/>
      <c r="H311" s="2">
        <f>2/48*100</f>
        <v>4.1666666666666661</v>
      </c>
      <c r="I311" s="2">
        <v>0</v>
      </c>
      <c r="J311" s="2">
        <v>0</v>
      </c>
      <c r="K311" s="2">
        <v>0</v>
      </c>
      <c r="L311" s="2">
        <v>0</v>
      </c>
      <c r="M311" s="2" t="s">
        <v>327</v>
      </c>
    </row>
    <row r="312" spans="1:13" ht="39.950000000000003" customHeight="1">
      <c r="A312" s="9">
        <v>222</v>
      </c>
      <c r="B312" s="2" t="s">
        <v>90</v>
      </c>
      <c r="C312" s="2"/>
      <c r="D312" s="10">
        <v>30</v>
      </c>
      <c r="E312" s="2"/>
      <c r="F312" s="2">
        <v>0</v>
      </c>
      <c r="G312" s="2"/>
      <c r="H312" s="2">
        <f>1/30*100</f>
        <v>3.3333333333333335</v>
      </c>
      <c r="I312" s="2">
        <f>1/30*100</f>
        <v>3.3333333333333335</v>
      </c>
      <c r="J312" s="2"/>
      <c r="K312" s="2">
        <f>2/30*100</f>
        <v>6.666666666666667</v>
      </c>
      <c r="L312" s="2">
        <f>1/30*100</f>
        <v>3.3333333333333335</v>
      </c>
      <c r="M312" s="2" t="s">
        <v>328</v>
      </c>
    </row>
    <row r="313" spans="1:13" ht="39.950000000000003" customHeight="1">
      <c r="A313" s="9">
        <v>223</v>
      </c>
      <c r="B313" s="2" t="s">
        <v>90</v>
      </c>
      <c r="C313" s="2" t="s">
        <v>14</v>
      </c>
      <c r="D313" s="10">
        <v>1000</v>
      </c>
      <c r="E313" s="2">
        <v>4.2</v>
      </c>
      <c r="F313" s="2">
        <v>0.1</v>
      </c>
      <c r="G313" s="2">
        <v>0.3</v>
      </c>
      <c r="H313" s="2">
        <v>4.7</v>
      </c>
      <c r="I313" s="2">
        <v>2.2999999999999998</v>
      </c>
      <c r="J313" s="2">
        <v>0</v>
      </c>
      <c r="K313" s="2">
        <v>0</v>
      </c>
      <c r="L313" s="2">
        <v>1.6</v>
      </c>
      <c r="M313" s="2" t="s">
        <v>329</v>
      </c>
    </row>
    <row r="314" spans="1:13" ht="39.950000000000003" customHeight="1">
      <c r="A314" s="9">
        <v>224</v>
      </c>
      <c r="B314" s="2" t="s">
        <v>90</v>
      </c>
      <c r="C314" s="2" t="s">
        <v>14</v>
      </c>
      <c r="D314" s="10">
        <v>9</v>
      </c>
      <c r="E314" s="2">
        <f>2/9*100</f>
        <v>22.222222222222221</v>
      </c>
      <c r="F314" s="2">
        <v>0</v>
      </c>
      <c r="G314" s="2">
        <f>2/9*100</f>
        <v>22.222222222222221</v>
      </c>
      <c r="H314" s="2"/>
      <c r="I314" s="2">
        <f>3/9*100</f>
        <v>33.333333333333329</v>
      </c>
      <c r="J314" s="2"/>
      <c r="K314" s="2"/>
      <c r="L314" s="2"/>
      <c r="M314" s="2" t="s">
        <v>330</v>
      </c>
    </row>
    <row r="315" spans="1:13" ht="39.950000000000003" customHeight="1">
      <c r="A315" s="9">
        <v>225</v>
      </c>
      <c r="B315" s="2" t="s">
        <v>18</v>
      </c>
      <c r="C315" s="2" t="s">
        <v>14</v>
      </c>
      <c r="D315" s="10">
        <v>144</v>
      </c>
      <c r="E315" s="2">
        <v>0</v>
      </c>
      <c r="F315" s="2">
        <v>0</v>
      </c>
      <c r="G315" s="2"/>
      <c r="H315" s="2">
        <v>3.47</v>
      </c>
      <c r="I315" s="2">
        <v>0</v>
      </c>
      <c r="J315" s="2"/>
      <c r="K315" s="2">
        <v>0</v>
      </c>
      <c r="L315" s="2">
        <v>0</v>
      </c>
      <c r="M315" s="2" t="s">
        <v>331</v>
      </c>
    </row>
    <row r="316" spans="1:13" ht="39.950000000000003" customHeight="1">
      <c r="A316" s="9">
        <v>226</v>
      </c>
      <c r="B316" s="2" t="s">
        <v>82</v>
      </c>
      <c r="C316" s="2" t="s">
        <v>25</v>
      </c>
      <c r="D316" s="10">
        <v>26</v>
      </c>
      <c r="E316" s="2">
        <v>69.23</v>
      </c>
      <c r="F316" s="2"/>
      <c r="G316" s="2">
        <v>0</v>
      </c>
      <c r="H316" s="2"/>
      <c r="I316" s="2"/>
      <c r="J316" s="2">
        <v>76.92</v>
      </c>
      <c r="K316" s="2"/>
      <c r="L316" s="2"/>
      <c r="M316" s="2" t="s">
        <v>332</v>
      </c>
    </row>
    <row r="317" spans="1:13" ht="39.950000000000003" customHeight="1">
      <c r="A317" s="9">
        <v>227</v>
      </c>
      <c r="B317" s="2" t="s">
        <v>13</v>
      </c>
      <c r="C317" s="2" t="s">
        <v>14</v>
      </c>
      <c r="D317" s="10">
        <v>9</v>
      </c>
      <c r="E317" s="2">
        <v>0</v>
      </c>
      <c r="F317" s="2">
        <v>0</v>
      </c>
      <c r="G317" s="2">
        <v>0</v>
      </c>
      <c r="H317" s="2">
        <f>4/9*100</f>
        <v>44.444444444444443</v>
      </c>
      <c r="I317" s="2"/>
      <c r="J317" s="2"/>
      <c r="K317" s="2"/>
      <c r="L317" s="2"/>
      <c r="M317" s="2" t="s">
        <v>333</v>
      </c>
    </row>
    <row r="318" spans="1:13" ht="39.950000000000003" customHeight="1">
      <c r="A318" s="9">
        <v>228</v>
      </c>
      <c r="B318" s="1" t="s">
        <v>20</v>
      </c>
      <c r="C318" s="1" t="s">
        <v>235</v>
      </c>
      <c r="D318" s="9">
        <v>46</v>
      </c>
      <c r="E318" s="1"/>
      <c r="F318" s="1"/>
      <c r="G318" s="1">
        <v>2.17</v>
      </c>
      <c r="H318" s="1"/>
      <c r="I318" s="1"/>
      <c r="J318" s="1"/>
      <c r="K318" s="1">
        <v>0</v>
      </c>
      <c r="L318" s="1"/>
      <c r="M318" s="1" t="s">
        <v>334</v>
      </c>
    </row>
    <row r="319" spans="1:13" ht="39.950000000000003" customHeight="1">
      <c r="A319" s="9">
        <v>229</v>
      </c>
      <c r="B319" s="2" t="s">
        <v>46</v>
      </c>
      <c r="C319" s="2" t="s">
        <v>52</v>
      </c>
      <c r="D319" s="10">
        <v>5</v>
      </c>
      <c r="E319" s="2">
        <v>0</v>
      </c>
      <c r="F319" s="2">
        <v>0</v>
      </c>
      <c r="G319" s="2">
        <v>0</v>
      </c>
      <c r="H319" s="2">
        <v>0</v>
      </c>
      <c r="I319" s="2">
        <v>0</v>
      </c>
      <c r="J319" s="2">
        <v>0</v>
      </c>
      <c r="K319" s="2">
        <v>0</v>
      </c>
      <c r="L319" s="2">
        <v>20</v>
      </c>
      <c r="M319" s="2" t="s">
        <v>335</v>
      </c>
    </row>
    <row r="320" spans="1:13" ht="39.950000000000003" customHeight="1">
      <c r="A320" s="9">
        <v>229</v>
      </c>
      <c r="B320" s="2" t="s">
        <v>46</v>
      </c>
      <c r="C320" s="2" t="s">
        <v>52</v>
      </c>
      <c r="D320" s="10">
        <v>5</v>
      </c>
      <c r="E320" s="2">
        <v>0</v>
      </c>
      <c r="F320" s="2">
        <v>0</v>
      </c>
      <c r="G320" s="2">
        <v>0</v>
      </c>
      <c r="H320" s="2">
        <v>40</v>
      </c>
      <c r="I320" s="2">
        <v>0</v>
      </c>
      <c r="J320" s="2">
        <v>0</v>
      </c>
      <c r="K320" s="2">
        <v>0</v>
      </c>
      <c r="L320" s="2">
        <v>0</v>
      </c>
      <c r="M320" s="2" t="s">
        <v>335</v>
      </c>
    </row>
    <row r="321" spans="1:13" ht="39.950000000000003" customHeight="1">
      <c r="A321" s="9">
        <v>229</v>
      </c>
      <c r="B321" s="2" t="s">
        <v>46</v>
      </c>
      <c r="C321" s="2" t="s">
        <v>52</v>
      </c>
      <c r="D321" s="10">
        <v>5</v>
      </c>
      <c r="E321" s="2">
        <v>0</v>
      </c>
      <c r="F321" s="2">
        <v>0</v>
      </c>
      <c r="G321" s="2">
        <v>0</v>
      </c>
      <c r="H321" s="2">
        <v>20</v>
      </c>
      <c r="I321" s="2">
        <v>0</v>
      </c>
      <c r="J321" s="2">
        <v>0</v>
      </c>
      <c r="K321" s="2">
        <v>0</v>
      </c>
      <c r="L321" s="2">
        <v>60</v>
      </c>
      <c r="M321" s="2" t="s">
        <v>335</v>
      </c>
    </row>
    <row r="322" spans="1:13" ht="39.950000000000003" customHeight="1">
      <c r="A322" s="9">
        <v>230</v>
      </c>
      <c r="B322" s="2" t="s">
        <v>30</v>
      </c>
      <c r="C322" s="1" t="s">
        <v>14</v>
      </c>
      <c r="D322" s="10">
        <v>60</v>
      </c>
      <c r="E322" s="2">
        <v>10.001166666666666</v>
      </c>
      <c r="F322" s="2">
        <v>3.3333333333333335</v>
      </c>
      <c r="G322" s="2">
        <v>1.6656666666666666</v>
      </c>
      <c r="H322" s="2">
        <v>0</v>
      </c>
      <c r="I322" s="2"/>
      <c r="J322" s="2"/>
      <c r="K322" s="2"/>
      <c r="L322" s="2"/>
      <c r="M322" s="2" t="s">
        <v>336</v>
      </c>
    </row>
    <row r="323" spans="1:13" ht="39.950000000000003" customHeight="1">
      <c r="A323" s="9">
        <v>231</v>
      </c>
      <c r="B323" s="2" t="s">
        <v>30</v>
      </c>
      <c r="C323" s="2" t="s">
        <v>70</v>
      </c>
      <c r="D323" s="10">
        <v>60</v>
      </c>
      <c r="E323" s="2">
        <f>(12*25+6.25*16+5.26*19)/60</f>
        <v>8.3323333333333327</v>
      </c>
      <c r="F323" s="2">
        <f>8*25/60</f>
        <v>3.3333333333333335</v>
      </c>
      <c r="G323" s="2">
        <f>5.26*19/60</f>
        <v>1.6656666666666666</v>
      </c>
      <c r="H323" s="2">
        <v>0</v>
      </c>
      <c r="I323" s="2"/>
      <c r="J323" s="2"/>
      <c r="K323" s="2"/>
      <c r="L323" s="2"/>
      <c r="M323" s="2" t="s">
        <v>336</v>
      </c>
    </row>
    <row r="324" spans="1:13" ht="39.950000000000003" customHeight="1">
      <c r="A324" s="9">
        <v>232</v>
      </c>
      <c r="B324" s="2" t="s">
        <v>123</v>
      </c>
      <c r="C324" s="2" t="s">
        <v>62</v>
      </c>
      <c r="D324" s="10">
        <v>15</v>
      </c>
      <c r="E324" s="2">
        <v>0</v>
      </c>
      <c r="F324" s="2">
        <v>0</v>
      </c>
      <c r="G324" s="2"/>
      <c r="H324" s="2">
        <v>0</v>
      </c>
      <c r="I324" s="2">
        <v>0</v>
      </c>
      <c r="J324" s="2"/>
      <c r="K324" s="2">
        <v>0</v>
      </c>
      <c r="L324" s="2">
        <v>0</v>
      </c>
      <c r="M324" s="2" t="s">
        <v>337</v>
      </c>
    </row>
    <row r="325" spans="1:13" ht="39.950000000000003" customHeight="1">
      <c r="A325" s="9">
        <v>233</v>
      </c>
      <c r="B325" s="1" t="s">
        <v>123</v>
      </c>
      <c r="C325" s="1" t="s">
        <v>52</v>
      </c>
      <c r="D325" s="9">
        <v>1733</v>
      </c>
      <c r="E325" s="1"/>
      <c r="F325" s="1">
        <v>0</v>
      </c>
      <c r="G325" s="1"/>
      <c r="H325" s="1">
        <f>2/1733*100</f>
        <v>0.1154068090017311</v>
      </c>
      <c r="I325" s="1">
        <v>0</v>
      </c>
      <c r="J325" s="1"/>
      <c r="K325" s="1">
        <v>0</v>
      </c>
      <c r="L325" s="1">
        <f>1/1733*100</f>
        <v>5.770340450086555E-2</v>
      </c>
      <c r="M325" s="1" t="s">
        <v>338</v>
      </c>
    </row>
    <row r="326" spans="1:13" ht="39.950000000000003" customHeight="1">
      <c r="A326" s="9">
        <v>234</v>
      </c>
      <c r="B326" s="2" t="s">
        <v>20</v>
      </c>
      <c r="C326" s="2" t="s">
        <v>62</v>
      </c>
      <c r="D326" s="10">
        <v>5</v>
      </c>
      <c r="E326" s="2">
        <v>0</v>
      </c>
      <c r="F326" s="2">
        <v>0</v>
      </c>
      <c r="G326" s="2"/>
      <c r="H326" s="2">
        <v>0</v>
      </c>
      <c r="I326" s="2"/>
      <c r="J326" s="2"/>
      <c r="K326" s="2">
        <v>0</v>
      </c>
      <c r="L326" s="2"/>
      <c r="M326" s="2" t="s">
        <v>339</v>
      </c>
    </row>
    <row r="327" spans="1:13" ht="39.950000000000003" customHeight="1">
      <c r="A327" s="9">
        <v>235</v>
      </c>
      <c r="B327" s="2" t="s">
        <v>61</v>
      </c>
      <c r="C327" s="2" t="s">
        <v>14</v>
      </c>
      <c r="D327" s="10">
        <v>66</v>
      </c>
      <c r="E327" s="2"/>
      <c r="F327" s="2">
        <v>0</v>
      </c>
      <c r="G327" s="2"/>
      <c r="H327" s="2">
        <f>100-69.7</f>
        <v>30.299999999999997</v>
      </c>
      <c r="I327" s="2">
        <f>100-98.5</f>
        <v>1.5</v>
      </c>
      <c r="J327" s="2"/>
      <c r="K327" s="2">
        <v>0</v>
      </c>
      <c r="L327" s="2">
        <v>0</v>
      </c>
      <c r="M327" s="2" t="s">
        <v>340</v>
      </c>
    </row>
    <row r="328" spans="1:13" ht="39.950000000000003" customHeight="1">
      <c r="A328" s="9">
        <v>236</v>
      </c>
      <c r="B328" s="2" t="s">
        <v>84</v>
      </c>
      <c r="C328" s="2" t="s">
        <v>62</v>
      </c>
      <c r="D328" s="9">
        <v>5</v>
      </c>
      <c r="E328" s="2">
        <v>0</v>
      </c>
      <c r="F328" s="2">
        <v>0</v>
      </c>
      <c r="G328" s="2">
        <v>0</v>
      </c>
      <c r="H328" s="2">
        <v>0</v>
      </c>
      <c r="I328" s="1"/>
      <c r="J328" s="1"/>
      <c r="K328" s="1"/>
      <c r="L328" s="1"/>
      <c r="M328" s="1" t="s">
        <v>341</v>
      </c>
    </row>
    <row r="329" spans="1:13" ht="39.950000000000003" customHeight="1">
      <c r="A329" s="9">
        <v>237</v>
      </c>
      <c r="B329" s="2" t="s">
        <v>22</v>
      </c>
      <c r="C329" s="2" t="s">
        <v>62</v>
      </c>
      <c r="D329" s="10">
        <v>38</v>
      </c>
      <c r="E329" s="2">
        <v>100</v>
      </c>
      <c r="F329" s="2">
        <v>3.3</v>
      </c>
      <c r="G329" s="2">
        <v>34.200000000000003</v>
      </c>
      <c r="H329" s="2">
        <v>96.9</v>
      </c>
      <c r="I329" s="2"/>
      <c r="J329" s="2"/>
      <c r="K329" s="2"/>
      <c r="L329" s="2"/>
      <c r="M329" s="2" t="s">
        <v>342</v>
      </c>
    </row>
    <row r="330" spans="1:13" ht="39.950000000000003" customHeight="1">
      <c r="A330" s="9">
        <v>238</v>
      </c>
      <c r="B330" s="2" t="s">
        <v>58</v>
      </c>
      <c r="C330" s="2" t="s">
        <v>70</v>
      </c>
      <c r="D330" s="10">
        <v>20</v>
      </c>
      <c r="E330" s="2">
        <v>25</v>
      </c>
      <c r="F330" s="2">
        <v>0</v>
      </c>
      <c r="G330" s="2">
        <v>0</v>
      </c>
      <c r="H330" s="2">
        <v>0</v>
      </c>
      <c r="I330" s="2">
        <v>0</v>
      </c>
      <c r="J330" s="2"/>
      <c r="K330" s="2"/>
      <c r="L330" s="2">
        <v>0</v>
      </c>
      <c r="M330" s="2" t="s">
        <v>343</v>
      </c>
    </row>
    <row r="331" spans="1:13" ht="39.950000000000003" customHeight="1">
      <c r="A331" s="9">
        <v>239</v>
      </c>
      <c r="B331" s="2" t="s">
        <v>87</v>
      </c>
      <c r="C331" s="2" t="s">
        <v>14</v>
      </c>
      <c r="D331" s="10">
        <v>45</v>
      </c>
      <c r="E331" s="2">
        <v>0</v>
      </c>
      <c r="F331" s="2">
        <v>0</v>
      </c>
      <c r="G331" s="2"/>
      <c r="H331" s="2">
        <f>11/15*100</f>
        <v>73.333333333333329</v>
      </c>
      <c r="I331" s="2">
        <v>0</v>
      </c>
      <c r="J331" s="2"/>
      <c r="K331" s="2">
        <v>0</v>
      </c>
      <c r="L331" s="2">
        <f>(9.1*11)/15</f>
        <v>6.6733333333333329</v>
      </c>
      <c r="M331" s="2" t="s">
        <v>344</v>
      </c>
    </row>
    <row r="332" spans="1:13" ht="39.950000000000003" customHeight="1">
      <c r="A332" s="9">
        <v>240</v>
      </c>
      <c r="B332" s="2" t="s">
        <v>87</v>
      </c>
      <c r="C332" s="2" t="s">
        <v>25</v>
      </c>
      <c r="D332" s="10">
        <v>42</v>
      </c>
      <c r="E332" s="2">
        <v>73.81</v>
      </c>
      <c r="F332" s="2">
        <v>0</v>
      </c>
      <c r="G332" s="2">
        <v>21.43</v>
      </c>
      <c r="H332" s="2">
        <v>85.71</v>
      </c>
      <c r="I332" s="2"/>
      <c r="J332" s="2"/>
      <c r="K332" s="2"/>
      <c r="L332" s="2"/>
      <c r="M332" s="2" t="s">
        <v>345</v>
      </c>
    </row>
    <row r="333" spans="1:13" ht="39.950000000000003" customHeight="1">
      <c r="A333" s="9">
        <v>241</v>
      </c>
      <c r="B333" s="2" t="s">
        <v>87</v>
      </c>
      <c r="C333" s="2" t="s">
        <v>253</v>
      </c>
      <c r="D333" s="10">
        <v>20</v>
      </c>
      <c r="E333" s="2"/>
      <c r="F333" s="2">
        <v>70</v>
      </c>
      <c r="G333" s="2">
        <v>35</v>
      </c>
      <c r="H333" s="2">
        <v>65</v>
      </c>
      <c r="I333" s="2"/>
      <c r="J333" s="2"/>
      <c r="K333" s="2"/>
      <c r="L333" s="2"/>
      <c r="M333" s="2" t="s">
        <v>346</v>
      </c>
    </row>
    <row r="334" spans="1:13" ht="39.950000000000003" customHeight="1">
      <c r="A334" s="9">
        <v>241</v>
      </c>
      <c r="B334" s="2" t="s">
        <v>87</v>
      </c>
      <c r="C334" s="2" t="s">
        <v>253</v>
      </c>
      <c r="D334" s="10">
        <v>20</v>
      </c>
      <c r="E334" s="2"/>
      <c r="F334" s="2">
        <v>15</v>
      </c>
      <c r="G334" s="2">
        <v>0</v>
      </c>
      <c r="H334" s="2">
        <v>85</v>
      </c>
      <c r="I334" s="2"/>
      <c r="J334" s="2"/>
      <c r="K334" s="2"/>
      <c r="L334" s="2"/>
      <c r="M334" s="2" t="s">
        <v>347</v>
      </c>
    </row>
    <row r="335" spans="1:13" ht="39.950000000000003" customHeight="1">
      <c r="A335" s="9">
        <v>242</v>
      </c>
      <c r="B335" s="2" t="s">
        <v>82</v>
      </c>
      <c r="C335" s="2" t="s">
        <v>25</v>
      </c>
      <c r="D335" s="10">
        <v>50</v>
      </c>
      <c r="E335" s="2">
        <v>0</v>
      </c>
      <c r="F335" s="2">
        <v>0</v>
      </c>
      <c r="G335" s="2">
        <v>0</v>
      </c>
      <c r="H335" s="2">
        <f>2/50*100</f>
        <v>4</v>
      </c>
      <c r="I335" s="2"/>
      <c r="J335" s="2"/>
      <c r="K335" s="2">
        <v>0</v>
      </c>
      <c r="L335" s="2">
        <v>0</v>
      </c>
      <c r="M335" s="2" t="s">
        <v>348</v>
      </c>
    </row>
    <row r="336" spans="1:13" ht="39.950000000000003" customHeight="1">
      <c r="A336" s="9">
        <v>243</v>
      </c>
      <c r="B336" s="2" t="s">
        <v>82</v>
      </c>
      <c r="C336" s="2" t="s">
        <v>14</v>
      </c>
      <c r="D336" s="10">
        <v>65</v>
      </c>
      <c r="E336" s="2"/>
      <c r="F336" s="2"/>
      <c r="G336" s="2"/>
      <c r="H336" s="2">
        <f>2/65*100</f>
        <v>3.0769230769230771</v>
      </c>
      <c r="I336" s="2"/>
      <c r="J336" s="2"/>
      <c r="K336" s="2"/>
      <c r="L336" s="2"/>
      <c r="M336" s="2" t="s">
        <v>349</v>
      </c>
    </row>
    <row r="337" spans="1:13" ht="39.950000000000003" customHeight="1">
      <c r="A337" s="9">
        <v>244</v>
      </c>
      <c r="B337" s="2" t="s">
        <v>20</v>
      </c>
      <c r="C337" s="2" t="s">
        <v>36</v>
      </c>
      <c r="D337" s="10">
        <v>11</v>
      </c>
      <c r="E337" s="2">
        <v>100</v>
      </c>
      <c r="F337" s="2">
        <f>5/11*100</f>
        <v>45.454545454545453</v>
      </c>
      <c r="G337" s="2">
        <v>0</v>
      </c>
      <c r="H337" s="2">
        <v>100</v>
      </c>
      <c r="I337" s="2"/>
      <c r="J337" s="2"/>
      <c r="K337" s="2"/>
      <c r="L337" s="2"/>
      <c r="M337" s="2" t="s">
        <v>192</v>
      </c>
    </row>
    <row r="338" spans="1:13" ht="39.950000000000003" customHeight="1">
      <c r="A338" s="9">
        <v>245</v>
      </c>
      <c r="B338" s="2" t="s">
        <v>87</v>
      </c>
      <c r="C338" s="2" t="s">
        <v>136</v>
      </c>
      <c r="D338" s="10">
        <v>6</v>
      </c>
      <c r="E338" s="2"/>
      <c r="F338" s="2">
        <v>0</v>
      </c>
      <c r="G338" s="2"/>
      <c r="H338" s="2">
        <v>100</v>
      </c>
      <c r="I338" s="2"/>
      <c r="J338" s="2"/>
      <c r="K338" s="2"/>
      <c r="L338" s="2"/>
      <c r="M338" s="2" t="s">
        <v>350</v>
      </c>
    </row>
    <row r="339" spans="1:13" ht="39.950000000000003" customHeight="1">
      <c r="A339" s="9">
        <v>245</v>
      </c>
      <c r="B339" s="2" t="s">
        <v>87</v>
      </c>
      <c r="C339" s="2" t="s">
        <v>136</v>
      </c>
      <c r="D339" s="10">
        <v>3</v>
      </c>
      <c r="E339" s="2"/>
      <c r="F339" s="2">
        <v>0</v>
      </c>
      <c r="G339" s="2"/>
      <c r="H339" s="2">
        <v>100</v>
      </c>
      <c r="I339" s="2"/>
      <c r="J339" s="2"/>
      <c r="K339" s="2"/>
      <c r="L339" s="2"/>
      <c r="M339" s="2" t="s">
        <v>351</v>
      </c>
    </row>
    <row r="340" spans="1:13" ht="39.950000000000003" customHeight="1">
      <c r="A340" s="9">
        <v>245</v>
      </c>
      <c r="B340" s="2" t="s">
        <v>87</v>
      </c>
      <c r="C340" s="2" t="s">
        <v>352</v>
      </c>
      <c r="D340" s="10">
        <v>11</v>
      </c>
      <c r="E340" s="2"/>
      <c r="F340" s="2">
        <v>27.27</v>
      </c>
      <c r="G340" s="2"/>
      <c r="H340" s="2">
        <v>100</v>
      </c>
      <c r="I340" s="2"/>
      <c r="J340" s="2"/>
      <c r="K340" s="2"/>
      <c r="L340" s="2"/>
      <c r="M340" s="2" t="s">
        <v>353</v>
      </c>
    </row>
    <row r="341" spans="1:13" ht="39.950000000000003" customHeight="1">
      <c r="A341" s="9">
        <v>245</v>
      </c>
      <c r="B341" s="2" t="s">
        <v>87</v>
      </c>
      <c r="C341" s="2" t="s">
        <v>127</v>
      </c>
      <c r="D341" s="10">
        <v>4</v>
      </c>
      <c r="E341" s="2"/>
      <c r="F341" s="2">
        <v>50</v>
      </c>
      <c r="G341" s="2"/>
      <c r="H341" s="2">
        <v>100</v>
      </c>
      <c r="I341" s="2"/>
      <c r="J341" s="2"/>
      <c r="K341" s="2"/>
      <c r="L341" s="2"/>
      <c r="M341" s="2" t="s">
        <v>354</v>
      </c>
    </row>
    <row r="342" spans="1:13" ht="39.950000000000003" customHeight="1">
      <c r="A342" s="9">
        <v>245</v>
      </c>
      <c r="B342" s="2" t="s">
        <v>87</v>
      </c>
      <c r="C342" s="2" t="s">
        <v>36</v>
      </c>
      <c r="D342" s="10">
        <v>6</v>
      </c>
      <c r="E342" s="2"/>
      <c r="F342" s="2">
        <v>16.670000000000002</v>
      </c>
      <c r="G342" s="2"/>
      <c r="H342" s="2">
        <v>100</v>
      </c>
      <c r="I342" s="2"/>
      <c r="J342" s="2"/>
      <c r="K342" s="2"/>
      <c r="L342" s="2"/>
      <c r="M342" s="2" t="s">
        <v>355</v>
      </c>
    </row>
    <row r="343" spans="1:13" ht="39.950000000000003" customHeight="1">
      <c r="A343" s="9">
        <v>246</v>
      </c>
      <c r="B343" s="2" t="s">
        <v>13</v>
      </c>
      <c r="C343" s="2" t="s">
        <v>52</v>
      </c>
      <c r="D343" s="10">
        <v>88</v>
      </c>
      <c r="E343" s="2">
        <v>0</v>
      </c>
      <c r="F343" s="2">
        <v>0</v>
      </c>
      <c r="G343" s="2"/>
      <c r="H343" s="2">
        <v>8</v>
      </c>
      <c r="I343" s="2">
        <v>0</v>
      </c>
      <c r="J343" s="2"/>
      <c r="K343" s="2">
        <v>0</v>
      </c>
      <c r="L343" s="2">
        <v>9.1</v>
      </c>
      <c r="M343" s="2" t="s">
        <v>356</v>
      </c>
    </row>
    <row r="344" spans="1:13" ht="39.950000000000003" customHeight="1">
      <c r="A344" s="9">
        <v>247</v>
      </c>
      <c r="B344" s="2" t="s">
        <v>48</v>
      </c>
      <c r="C344" s="2" t="s">
        <v>14</v>
      </c>
      <c r="D344" s="10">
        <v>106</v>
      </c>
      <c r="E344" s="2">
        <v>7.55</v>
      </c>
      <c r="F344" s="2">
        <v>0</v>
      </c>
      <c r="G344" s="2">
        <v>0</v>
      </c>
      <c r="H344" s="2">
        <v>0</v>
      </c>
      <c r="I344" s="2">
        <v>0</v>
      </c>
      <c r="J344" s="2">
        <v>25.47</v>
      </c>
      <c r="K344" s="2">
        <v>20.75</v>
      </c>
      <c r="L344" s="2">
        <v>3.77</v>
      </c>
      <c r="M344" s="2" t="s">
        <v>357</v>
      </c>
    </row>
    <row r="345" spans="1:13" ht="39.950000000000003" customHeight="1">
      <c r="A345" s="9">
        <v>248</v>
      </c>
      <c r="B345" s="2" t="s">
        <v>16</v>
      </c>
      <c r="C345" s="2" t="s">
        <v>25</v>
      </c>
      <c r="D345" s="10">
        <v>8</v>
      </c>
      <c r="E345" s="2">
        <v>0</v>
      </c>
      <c r="F345" s="2">
        <v>0</v>
      </c>
      <c r="G345" s="2"/>
      <c r="H345" s="2">
        <v>0</v>
      </c>
      <c r="I345" s="2">
        <v>0</v>
      </c>
      <c r="J345" s="2"/>
      <c r="K345" s="2">
        <v>0</v>
      </c>
      <c r="L345" s="2">
        <v>0</v>
      </c>
      <c r="M345" s="2" t="s">
        <v>358</v>
      </c>
    </row>
    <row r="346" spans="1:13" ht="39.950000000000003" customHeight="1">
      <c r="A346" s="9">
        <v>249</v>
      </c>
      <c r="B346" s="2" t="s">
        <v>48</v>
      </c>
      <c r="C346" s="2"/>
      <c r="D346" s="10">
        <v>9</v>
      </c>
      <c r="E346" s="2">
        <v>100</v>
      </c>
      <c r="F346" s="2">
        <v>0</v>
      </c>
      <c r="G346" s="2">
        <v>0</v>
      </c>
      <c r="H346" s="2">
        <v>100</v>
      </c>
      <c r="I346" s="2">
        <v>100</v>
      </c>
      <c r="J346" s="2">
        <f>1/9*100</f>
        <v>11.111111111111111</v>
      </c>
      <c r="K346" s="2"/>
      <c r="L346" s="2"/>
      <c r="M346" s="2" t="s">
        <v>359</v>
      </c>
    </row>
    <row r="347" spans="1:13" ht="39.950000000000003" customHeight="1">
      <c r="A347" s="9">
        <v>250</v>
      </c>
      <c r="B347" s="1" t="s">
        <v>16</v>
      </c>
      <c r="C347" s="1" t="s">
        <v>14</v>
      </c>
      <c r="D347" s="9">
        <v>8</v>
      </c>
      <c r="E347" s="1">
        <v>75</v>
      </c>
      <c r="F347" s="1"/>
      <c r="G347" s="1"/>
      <c r="H347" s="1">
        <v>25</v>
      </c>
      <c r="I347" s="1"/>
      <c r="J347" s="1"/>
      <c r="K347" s="1"/>
      <c r="L347" s="1"/>
      <c r="M347" s="1" t="s">
        <v>360</v>
      </c>
    </row>
    <row r="348" spans="1:13" ht="39.950000000000003" customHeight="1">
      <c r="A348" s="9">
        <v>251</v>
      </c>
      <c r="B348" s="2" t="s">
        <v>46</v>
      </c>
      <c r="C348" s="2" t="s">
        <v>14</v>
      </c>
      <c r="D348" s="10">
        <v>4767</v>
      </c>
      <c r="E348" s="2"/>
      <c r="F348" s="2">
        <v>0</v>
      </c>
      <c r="G348" s="2"/>
      <c r="H348" s="2">
        <v>1.43</v>
      </c>
      <c r="I348" s="2">
        <v>0</v>
      </c>
      <c r="J348" s="2"/>
      <c r="K348" s="2">
        <v>0</v>
      </c>
      <c r="L348" s="2">
        <v>0</v>
      </c>
      <c r="M348" s="2" t="s">
        <v>361</v>
      </c>
    </row>
    <row r="349" spans="1:13" ht="39.950000000000003" customHeight="1">
      <c r="A349" s="9">
        <v>252</v>
      </c>
      <c r="B349" s="2" t="s">
        <v>46</v>
      </c>
      <c r="C349" s="2" t="s">
        <v>62</v>
      </c>
      <c r="D349" s="10">
        <v>33</v>
      </c>
      <c r="E349" s="2">
        <v>0</v>
      </c>
      <c r="F349" s="2"/>
      <c r="G349" s="2">
        <v>0</v>
      </c>
      <c r="H349" s="2">
        <v>0</v>
      </c>
      <c r="I349" s="2">
        <v>0</v>
      </c>
      <c r="J349" s="2"/>
      <c r="K349" s="2">
        <v>0</v>
      </c>
      <c r="L349" s="2"/>
      <c r="M349" s="2" t="s">
        <v>362</v>
      </c>
    </row>
    <row r="350" spans="1:13" ht="39.950000000000003" customHeight="1">
      <c r="A350" s="9">
        <v>253</v>
      </c>
      <c r="B350" s="2" t="s">
        <v>27</v>
      </c>
      <c r="C350" s="2" t="s">
        <v>14</v>
      </c>
      <c r="D350" s="10">
        <v>376</v>
      </c>
      <c r="E350" s="2">
        <v>0</v>
      </c>
      <c r="F350" s="2">
        <v>0</v>
      </c>
      <c r="G350" s="2"/>
      <c r="H350" s="2">
        <v>4.2353723404255321</v>
      </c>
      <c r="I350" s="2">
        <v>0.14920212765957447</v>
      </c>
      <c r="J350" s="2"/>
      <c r="K350" s="2">
        <v>0</v>
      </c>
      <c r="L350" s="2">
        <v>0</v>
      </c>
      <c r="M350" s="2" t="s">
        <v>363</v>
      </c>
    </row>
    <row r="351" spans="1:13" ht="39.950000000000003" customHeight="1">
      <c r="A351" s="9">
        <v>254</v>
      </c>
      <c r="B351" s="2" t="s">
        <v>82</v>
      </c>
      <c r="C351" s="2" t="s">
        <v>14</v>
      </c>
      <c r="D351" s="10">
        <v>27</v>
      </c>
      <c r="E351" s="2"/>
      <c r="F351" s="2">
        <v>0</v>
      </c>
      <c r="G351" s="2"/>
      <c r="H351" s="2">
        <v>0</v>
      </c>
      <c r="I351" s="2">
        <v>0</v>
      </c>
      <c r="J351" s="2"/>
      <c r="K351" s="2">
        <v>0</v>
      </c>
      <c r="L351" s="2">
        <v>0</v>
      </c>
      <c r="M351" s="2" t="s">
        <v>364</v>
      </c>
    </row>
    <row r="352" spans="1:13" ht="39.950000000000003" customHeight="1">
      <c r="A352" s="9">
        <v>255</v>
      </c>
      <c r="B352" s="2" t="s">
        <v>30</v>
      </c>
      <c r="C352" s="2" t="s">
        <v>14</v>
      </c>
      <c r="D352" s="10">
        <v>23</v>
      </c>
      <c r="E352" s="2">
        <v>0</v>
      </c>
      <c r="F352" s="2">
        <v>0</v>
      </c>
      <c r="G352" s="2">
        <v>0</v>
      </c>
      <c r="H352" s="2">
        <v>0</v>
      </c>
      <c r="I352" s="2">
        <v>0</v>
      </c>
      <c r="J352" s="2">
        <v>19.05</v>
      </c>
      <c r="K352" s="2">
        <v>4.76</v>
      </c>
      <c r="L352" s="2">
        <v>0</v>
      </c>
      <c r="M352" s="2" t="s">
        <v>365</v>
      </c>
    </row>
    <row r="353" spans="1:13" ht="39.950000000000003" customHeight="1">
      <c r="A353" s="9">
        <v>256</v>
      </c>
      <c r="B353" s="2" t="s">
        <v>123</v>
      </c>
      <c r="C353" s="2" t="s">
        <v>14</v>
      </c>
      <c r="D353" s="10">
        <v>6</v>
      </c>
      <c r="E353" s="2">
        <v>0</v>
      </c>
      <c r="F353" s="2">
        <v>0</v>
      </c>
      <c r="G353" s="2">
        <v>0</v>
      </c>
      <c r="H353" s="2">
        <v>0</v>
      </c>
      <c r="I353" s="2">
        <v>0</v>
      </c>
      <c r="J353" s="2">
        <v>0</v>
      </c>
      <c r="K353" s="2">
        <v>0</v>
      </c>
      <c r="L353" s="2">
        <v>0</v>
      </c>
      <c r="M353" s="2" t="s">
        <v>366</v>
      </c>
    </row>
    <row r="354" spans="1:13" ht="39.950000000000003" customHeight="1">
      <c r="A354" s="9">
        <v>257</v>
      </c>
      <c r="B354" s="2" t="s">
        <v>13</v>
      </c>
      <c r="C354" s="2" t="s">
        <v>52</v>
      </c>
      <c r="D354" s="10">
        <v>3</v>
      </c>
      <c r="E354" s="2">
        <v>0</v>
      </c>
      <c r="F354" s="2">
        <v>0</v>
      </c>
      <c r="G354" s="2"/>
      <c r="H354" s="2">
        <v>0</v>
      </c>
      <c r="I354" s="2">
        <v>0</v>
      </c>
      <c r="J354" s="2"/>
      <c r="K354" s="2">
        <v>0</v>
      </c>
      <c r="L354" s="2">
        <v>0</v>
      </c>
      <c r="M354" s="2" t="s">
        <v>367</v>
      </c>
    </row>
    <row r="355" spans="1:13" ht="39.950000000000003" customHeight="1">
      <c r="A355" s="9">
        <v>258</v>
      </c>
      <c r="B355" s="2" t="s">
        <v>22</v>
      </c>
      <c r="C355" s="2" t="s">
        <v>25</v>
      </c>
      <c r="D355" s="10">
        <v>25</v>
      </c>
      <c r="E355" s="2">
        <v>0</v>
      </c>
      <c r="F355" s="2">
        <v>0</v>
      </c>
      <c r="G355" s="2">
        <v>0</v>
      </c>
      <c r="H355" s="2">
        <v>18.329999999999998</v>
      </c>
      <c r="I355" s="2"/>
      <c r="J355" s="2">
        <v>35.43</v>
      </c>
      <c r="K355" s="2"/>
      <c r="L355" s="2"/>
      <c r="M355" s="2" t="s">
        <v>368</v>
      </c>
    </row>
    <row r="356" spans="1:13" ht="39.950000000000003" customHeight="1">
      <c r="A356" s="9">
        <v>259</v>
      </c>
      <c r="B356" s="2" t="s">
        <v>51</v>
      </c>
      <c r="C356" s="2" t="s">
        <v>14</v>
      </c>
      <c r="D356" s="10">
        <v>20</v>
      </c>
      <c r="E356" s="2">
        <v>20</v>
      </c>
      <c r="F356" s="2">
        <v>0</v>
      </c>
      <c r="G356" s="2">
        <v>55</v>
      </c>
      <c r="H356" s="2">
        <v>95</v>
      </c>
      <c r="I356" s="2"/>
      <c r="J356" s="2"/>
      <c r="K356" s="2"/>
      <c r="L356" s="2"/>
      <c r="M356" s="2" t="s">
        <v>369</v>
      </c>
    </row>
    <row r="357" spans="1:13" ht="39.950000000000003" customHeight="1">
      <c r="A357" s="9">
        <v>260</v>
      </c>
      <c r="B357" s="2" t="s">
        <v>82</v>
      </c>
      <c r="C357" s="2" t="s">
        <v>370</v>
      </c>
      <c r="D357" s="10">
        <v>39</v>
      </c>
      <c r="E357" s="2">
        <v>0</v>
      </c>
      <c r="F357" s="2">
        <v>0</v>
      </c>
      <c r="G357" s="2">
        <v>0</v>
      </c>
      <c r="H357" s="2">
        <v>100</v>
      </c>
      <c r="I357" s="2"/>
      <c r="J357" s="2">
        <v>0</v>
      </c>
      <c r="K357" s="2">
        <v>0</v>
      </c>
      <c r="L357" s="2"/>
      <c r="M357" s="2" t="s">
        <v>371</v>
      </c>
    </row>
    <row r="358" spans="1:13" ht="39.950000000000003" customHeight="1">
      <c r="A358" s="9">
        <v>260</v>
      </c>
      <c r="B358" s="2" t="s">
        <v>82</v>
      </c>
      <c r="C358" s="2"/>
      <c r="D358" s="10">
        <v>33</v>
      </c>
      <c r="E358" s="2">
        <v>0</v>
      </c>
      <c r="F358" s="2">
        <v>0</v>
      </c>
      <c r="G358" s="2">
        <v>0</v>
      </c>
      <c r="H358" s="2">
        <v>100</v>
      </c>
      <c r="I358" s="2"/>
      <c r="J358" s="2">
        <v>0</v>
      </c>
      <c r="K358" s="2">
        <v>0</v>
      </c>
      <c r="L358" s="2"/>
      <c r="M358" s="2" t="s">
        <v>371</v>
      </c>
    </row>
    <row r="359" spans="1:13" ht="39.950000000000003" customHeight="1">
      <c r="A359" s="9">
        <v>260</v>
      </c>
      <c r="B359" s="2" t="s">
        <v>82</v>
      </c>
      <c r="C359" s="2"/>
      <c r="D359" s="10">
        <v>14</v>
      </c>
      <c r="E359" s="2">
        <v>0</v>
      </c>
      <c r="F359" s="2">
        <v>0</v>
      </c>
      <c r="G359" s="2">
        <v>0</v>
      </c>
      <c r="H359" s="2">
        <v>100</v>
      </c>
      <c r="I359" s="2"/>
      <c r="J359" s="2">
        <v>0</v>
      </c>
      <c r="K359" s="2">
        <v>0</v>
      </c>
      <c r="L359" s="2"/>
      <c r="M359" s="2" t="s">
        <v>371</v>
      </c>
    </row>
    <row r="360" spans="1:13" ht="39.950000000000003" customHeight="1">
      <c r="A360" s="9">
        <v>261</v>
      </c>
      <c r="B360" s="2" t="s">
        <v>82</v>
      </c>
      <c r="C360" s="2"/>
      <c r="D360" s="10">
        <v>32</v>
      </c>
      <c r="E360" s="2"/>
      <c r="F360" s="2">
        <v>0</v>
      </c>
      <c r="G360" s="2"/>
      <c r="H360" s="2">
        <v>0</v>
      </c>
      <c r="I360" s="2">
        <v>0</v>
      </c>
      <c r="J360" s="2"/>
      <c r="K360" s="2">
        <v>0</v>
      </c>
      <c r="L360" s="2">
        <v>0</v>
      </c>
      <c r="M360" s="2" t="s">
        <v>372</v>
      </c>
    </row>
    <row r="361" spans="1:13" ht="39.950000000000003" customHeight="1">
      <c r="A361" s="9">
        <v>262</v>
      </c>
      <c r="B361" s="2" t="s">
        <v>30</v>
      </c>
      <c r="C361" s="2" t="s">
        <v>14</v>
      </c>
      <c r="D361" s="10">
        <v>28</v>
      </c>
      <c r="E361" s="2"/>
      <c r="F361" s="2"/>
      <c r="G361" s="2"/>
      <c r="H361" s="2">
        <v>0</v>
      </c>
      <c r="I361" s="2"/>
      <c r="J361" s="2"/>
      <c r="K361" s="2"/>
      <c r="L361" s="2"/>
      <c r="M361" s="2" t="s">
        <v>373</v>
      </c>
    </row>
    <row r="362" spans="1:13" ht="39.950000000000003" customHeight="1">
      <c r="A362" s="9">
        <v>263</v>
      </c>
      <c r="B362" s="1" t="s">
        <v>30</v>
      </c>
      <c r="C362" s="1"/>
      <c r="D362" s="9">
        <v>137</v>
      </c>
      <c r="E362" s="1">
        <v>0</v>
      </c>
      <c r="F362" s="1">
        <v>0</v>
      </c>
      <c r="G362" s="1">
        <v>0</v>
      </c>
      <c r="H362" s="1">
        <v>0</v>
      </c>
      <c r="I362" s="1">
        <v>0</v>
      </c>
      <c r="J362" s="1">
        <v>0</v>
      </c>
      <c r="K362" s="1">
        <v>0</v>
      </c>
      <c r="L362" s="1">
        <v>0</v>
      </c>
      <c r="M362" s="1" t="s">
        <v>374</v>
      </c>
    </row>
    <row r="363" spans="1:13" ht="39.950000000000003" customHeight="1">
      <c r="A363" s="9">
        <v>264</v>
      </c>
      <c r="B363" s="2" t="s">
        <v>20</v>
      </c>
      <c r="C363" s="2" t="s">
        <v>14</v>
      </c>
      <c r="D363" s="10">
        <v>40</v>
      </c>
      <c r="E363" s="2">
        <v>0</v>
      </c>
      <c r="F363" s="2">
        <v>0</v>
      </c>
      <c r="G363" s="2"/>
      <c r="H363" s="2"/>
      <c r="I363" s="2">
        <v>0</v>
      </c>
      <c r="J363" s="2"/>
      <c r="K363" s="2">
        <v>0</v>
      </c>
      <c r="L363" s="2"/>
      <c r="M363" s="2" t="s">
        <v>375</v>
      </c>
    </row>
    <row r="364" spans="1:13" ht="39.950000000000003" customHeight="1">
      <c r="A364" s="9">
        <v>265</v>
      </c>
      <c r="B364" s="1" t="s">
        <v>84</v>
      </c>
      <c r="C364" s="1"/>
      <c r="D364" s="9">
        <v>38</v>
      </c>
      <c r="E364" s="2">
        <v>0</v>
      </c>
      <c r="F364" s="2">
        <v>0</v>
      </c>
      <c r="G364" s="2">
        <v>0</v>
      </c>
      <c r="H364" s="2"/>
      <c r="I364" s="2"/>
      <c r="J364" s="2"/>
      <c r="K364" s="2">
        <v>0</v>
      </c>
      <c r="L364" s="2"/>
      <c r="M364" s="1" t="s">
        <v>376</v>
      </c>
    </row>
    <row r="365" spans="1:13" ht="39.950000000000003" customHeight="1">
      <c r="A365" s="9">
        <v>266</v>
      </c>
      <c r="B365" s="1" t="s">
        <v>84</v>
      </c>
      <c r="C365" s="1"/>
      <c r="D365" s="9">
        <v>4</v>
      </c>
      <c r="E365" s="1">
        <v>0</v>
      </c>
      <c r="F365" s="1">
        <v>0</v>
      </c>
      <c r="G365" s="1">
        <v>0</v>
      </c>
      <c r="H365" s="1">
        <v>0</v>
      </c>
      <c r="I365" s="1"/>
      <c r="J365" s="1"/>
      <c r="K365" s="1"/>
      <c r="L365" s="1">
        <v>0</v>
      </c>
      <c r="M365" s="1" t="s">
        <v>377</v>
      </c>
    </row>
    <row r="366" spans="1:13" ht="39.950000000000003" customHeight="1">
      <c r="A366" s="9">
        <v>267</v>
      </c>
      <c r="B366" s="1" t="s">
        <v>84</v>
      </c>
      <c r="C366" s="1"/>
      <c r="D366" s="9">
        <v>11</v>
      </c>
      <c r="E366" s="2">
        <v>0</v>
      </c>
      <c r="F366" s="2">
        <v>0</v>
      </c>
      <c r="G366" s="2">
        <v>0</v>
      </c>
      <c r="H366" s="2">
        <f>4/11*100</f>
        <v>36.363636363636367</v>
      </c>
      <c r="I366" s="2"/>
      <c r="J366" s="2"/>
      <c r="K366" s="2">
        <v>0</v>
      </c>
      <c r="L366" s="2"/>
      <c r="M366" s="1" t="s">
        <v>378</v>
      </c>
    </row>
    <row r="367" spans="1:13" ht="39.950000000000003" customHeight="1">
      <c r="A367" s="9">
        <v>268</v>
      </c>
      <c r="B367" s="2" t="s">
        <v>107</v>
      </c>
      <c r="C367" s="2" t="s">
        <v>52</v>
      </c>
      <c r="D367" s="10">
        <v>45</v>
      </c>
      <c r="E367" s="2">
        <v>0</v>
      </c>
      <c r="F367" s="2">
        <v>0</v>
      </c>
      <c r="G367" s="2"/>
      <c r="H367" s="2">
        <v>0</v>
      </c>
      <c r="I367" s="2"/>
      <c r="J367" s="2"/>
      <c r="K367" s="2"/>
      <c r="L367" s="2">
        <v>0</v>
      </c>
      <c r="M367" s="2" t="s">
        <v>379</v>
      </c>
    </row>
    <row r="368" spans="1:13" ht="39.950000000000003" customHeight="1">
      <c r="A368" s="9">
        <v>269</v>
      </c>
      <c r="B368" s="2" t="s">
        <v>20</v>
      </c>
      <c r="C368" s="2" t="s">
        <v>32</v>
      </c>
      <c r="D368" s="10">
        <v>41</v>
      </c>
      <c r="E368" s="2"/>
      <c r="F368" s="2">
        <v>0</v>
      </c>
      <c r="G368" s="2">
        <f>10/41*100</f>
        <v>24.390243902439025</v>
      </c>
      <c r="H368" s="2">
        <f>2/41*100</f>
        <v>4.8780487804878048</v>
      </c>
      <c r="I368" s="2"/>
      <c r="J368" s="2"/>
      <c r="K368" s="2">
        <v>0</v>
      </c>
      <c r="L368" s="2"/>
      <c r="M368" s="2" t="s">
        <v>380</v>
      </c>
    </row>
    <row r="369" spans="1:13" ht="39.950000000000003" customHeight="1">
      <c r="A369" s="9">
        <v>270</v>
      </c>
      <c r="B369" s="2" t="s">
        <v>213</v>
      </c>
      <c r="C369" s="2" t="s">
        <v>381</v>
      </c>
      <c r="D369" s="10">
        <v>5</v>
      </c>
      <c r="E369" s="2">
        <f>1/5*100</f>
        <v>20</v>
      </c>
      <c r="F369" s="2">
        <v>100</v>
      </c>
      <c r="G369" s="2">
        <v>0</v>
      </c>
      <c r="H369" s="2">
        <v>100</v>
      </c>
      <c r="I369" s="2"/>
      <c r="J369" s="2"/>
      <c r="K369" s="2">
        <v>0</v>
      </c>
      <c r="L369" s="2"/>
      <c r="M369" s="2" t="s">
        <v>382</v>
      </c>
    </row>
    <row r="370" spans="1:13" ht="39.950000000000003" customHeight="1">
      <c r="A370" s="9">
        <v>270</v>
      </c>
      <c r="B370" s="2" t="s">
        <v>213</v>
      </c>
      <c r="C370" s="2" t="s">
        <v>381</v>
      </c>
      <c r="D370" s="10">
        <v>5</v>
      </c>
      <c r="E370" s="2">
        <v>100</v>
      </c>
      <c r="F370" s="2">
        <v>80</v>
      </c>
      <c r="G370" s="2">
        <v>40</v>
      </c>
      <c r="H370" s="2">
        <v>100</v>
      </c>
      <c r="I370" s="2"/>
      <c r="J370" s="2"/>
      <c r="K370" s="2">
        <v>40</v>
      </c>
      <c r="L370" s="2"/>
      <c r="M370" s="2" t="s">
        <v>383</v>
      </c>
    </row>
    <row r="371" spans="1:13" ht="39.950000000000003" customHeight="1">
      <c r="A371" s="9">
        <v>270</v>
      </c>
      <c r="B371" s="2" t="s">
        <v>213</v>
      </c>
      <c r="C371" s="2" t="s">
        <v>381</v>
      </c>
      <c r="D371" s="10">
        <v>5</v>
      </c>
      <c r="E371" s="2">
        <v>80</v>
      </c>
      <c r="F371" s="2">
        <v>100</v>
      </c>
      <c r="G371" s="2">
        <v>60</v>
      </c>
      <c r="H371" s="2">
        <v>100</v>
      </c>
      <c r="I371" s="2"/>
      <c r="J371" s="2"/>
      <c r="K371" s="2">
        <v>20</v>
      </c>
      <c r="L371" s="2"/>
      <c r="M371" s="2" t="s">
        <v>384</v>
      </c>
    </row>
    <row r="372" spans="1:13" ht="39.950000000000003" customHeight="1">
      <c r="A372" s="9">
        <v>270</v>
      </c>
      <c r="B372" s="2" t="s">
        <v>213</v>
      </c>
      <c r="C372" s="2" t="s">
        <v>381</v>
      </c>
      <c r="D372" s="10">
        <v>1</v>
      </c>
      <c r="E372" s="2">
        <v>100</v>
      </c>
      <c r="F372" s="2">
        <v>0</v>
      </c>
      <c r="G372" s="2">
        <v>0</v>
      </c>
      <c r="H372" s="2">
        <v>0</v>
      </c>
      <c r="I372" s="2"/>
      <c r="J372" s="2"/>
      <c r="K372" s="2">
        <v>0</v>
      </c>
      <c r="L372" s="2"/>
      <c r="M372" s="2" t="s">
        <v>385</v>
      </c>
    </row>
    <row r="373" spans="1:13" ht="39.950000000000003" customHeight="1">
      <c r="A373" s="9">
        <v>270</v>
      </c>
      <c r="B373" s="2" t="s">
        <v>213</v>
      </c>
      <c r="C373" s="2" t="s">
        <v>381</v>
      </c>
      <c r="D373" s="10">
        <v>3</v>
      </c>
      <c r="E373" s="2">
        <v>100</v>
      </c>
      <c r="F373" s="2">
        <v>0</v>
      </c>
      <c r="G373" s="2">
        <v>33</v>
      </c>
      <c r="H373" s="2">
        <v>100</v>
      </c>
      <c r="I373" s="2"/>
      <c r="J373" s="2"/>
      <c r="K373" s="2">
        <v>0</v>
      </c>
      <c r="L373" s="2"/>
      <c r="M373" s="2" t="s">
        <v>386</v>
      </c>
    </row>
    <row r="374" spans="1:13" ht="39.950000000000003" customHeight="1">
      <c r="A374" s="9">
        <v>270</v>
      </c>
      <c r="B374" s="2" t="s">
        <v>213</v>
      </c>
      <c r="C374" s="2" t="s">
        <v>381</v>
      </c>
      <c r="D374" s="10">
        <v>1</v>
      </c>
      <c r="E374" s="2">
        <v>0</v>
      </c>
      <c r="F374" s="2">
        <v>0</v>
      </c>
      <c r="G374" s="2">
        <v>0</v>
      </c>
      <c r="H374" s="2">
        <v>100</v>
      </c>
      <c r="I374" s="2"/>
      <c r="J374" s="2"/>
      <c r="K374" s="2">
        <v>0</v>
      </c>
      <c r="L374" s="2"/>
      <c r="M374" s="2" t="s">
        <v>387</v>
      </c>
    </row>
    <row r="375" spans="1:13" ht="39.950000000000003" customHeight="1">
      <c r="A375" s="9">
        <v>271</v>
      </c>
      <c r="B375" s="2" t="s">
        <v>22</v>
      </c>
      <c r="C375" s="2" t="s">
        <v>14</v>
      </c>
      <c r="D375" s="10">
        <v>59</v>
      </c>
      <c r="E375" s="2">
        <v>0</v>
      </c>
      <c r="F375" s="2"/>
      <c r="G375" s="2">
        <v>0</v>
      </c>
      <c r="H375" s="2"/>
      <c r="I375" s="2"/>
      <c r="J375" s="2">
        <v>0</v>
      </c>
      <c r="K375" s="2">
        <v>0</v>
      </c>
      <c r="L375" s="2"/>
      <c r="M375" s="2" t="s">
        <v>388</v>
      </c>
    </row>
    <row r="376" spans="1:13" ht="39.950000000000003" customHeight="1">
      <c r="A376" s="9">
        <v>272</v>
      </c>
      <c r="B376" s="4" t="s">
        <v>16</v>
      </c>
      <c r="C376" s="4"/>
      <c r="D376" s="13">
        <v>15</v>
      </c>
      <c r="E376" s="4">
        <v>0</v>
      </c>
      <c r="F376" s="4">
        <v>0</v>
      </c>
      <c r="G376" s="4">
        <v>0</v>
      </c>
      <c r="H376" s="4">
        <v>0</v>
      </c>
      <c r="I376" s="4">
        <v>0</v>
      </c>
      <c r="J376" s="4">
        <v>0</v>
      </c>
      <c r="K376" s="4">
        <v>0</v>
      </c>
      <c r="L376" s="4">
        <v>0</v>
      </c>
      <c r="M376" s="1" t="s">
        <v>389</v>
      </c>
    </row>
    <row r="377" spans="1:13" ht="39.950000000000003" customHeight="1">
      <c r="A377" s="9">
        <v>273</v>
      </c>
      <c r="B377" s="1" t="s">
        <v>166</v>
      </c>
      <c r="C377" s="1" t="s">
        <v>14</v>
      </c>
      <c r="D377" s="9">
        <v>573</v>
      </c>
      <c r="E377" s="1">
        <v>4.1900000000000004</v>
      </c>
      <c r="F377" s="1">
        <v>0.17</v>
      </c>
      <c r="G377" s="1">
        <v>0.52</v>
      </c>
      <c r="H377" s="1">
        <v>3.16</v>
      </c>
      <c r="I377" s="1">
        <v>0.87</v>
      </c>
      <c r="J377" s="1"/>
      <c r="K377" s="1"/>
      <c r="L377" s="1">
        <v>8.1999999999999993</v>
      </c>
      <c r="M377" s="1" t="s">
        <v>390</v>
      </c>
    </row>
    <row r="378" spans="1:13" ht="39.950000000000003" customHeight="1">
      <c r="A378" s="9">
        <v>274</v>
      </c>
      <c r="B378" s="1" t="s">
        <v>84</v>
      </c>
      <c r="C378" s="1"/>
      <c r="D378" s="9">
        <v>6</v>
      </c>
      <c r="E378" s="1">
        <v>0</v>
      </c>
      <c r="F378" s="1">
        <v>0</v>
      </c>
      <c r="G378" s="1">
        <v>0</v>
      </c>
      <c r="H378" s="1">
        <v>100</v>
      </c>
      <c r="I378" s="1">
        <v>100</v>
      </c>
      <c r="J378" s="1"/>
      <c r="K378" s="1">
        <v>0</v>
      </c>
      <c r="L378" s="1">
        <v>0</v>
      </c>
      <c r="M378" s="1" t="s">
        <v>391</v>
      </c>
    </row>
    <row r="379" spans="1:13" ht="39.950000000000003" customHeight="1">
      <c r="A379" s="9">
        <v>275</v>
      </c>
      <c r="B379" s="1" t="s">
        <v>30</v>
      </c>
      <c r="C379" s="1" t="s">
        <v>392</v>
      </c>
      <c r="D379" s="9">
        <v>18</v>
      </c>
      <c r="E379" s="1"/>
      <c r="F379" s="1"/>
      <c r="G379" s="1"/>
      <c r="H379" s="1"/>
      <c r="I379" s="1"/>
      <c r="J379" s="1"/>
      <c r="K379" s="1">
        <v>0</v>
      </c>
      <c r="L379" s="1"/>
      <c r="M379" s="1" t="s">
        <v>393</v>
      </c>
    </row>
    <row r="380" spans="1:13" ht="39.950000000000003" customHeight="1">
      <c r="A380" s="9">
        <v>276</v>
      </c>
      <c r="B380" s="2" t="s">
        <v>46</v>
      </c>
      <c r="C380" s="2" t="s">
        <v>394</v>
      </c>
      <c r="D380" s="10">
        <v>60</v>
      </c>
      <c r="E380" s="2">
        <v>11.67</v>
      </c>
      <c r="F380" s="2">
        <v>3.33</v>
      </c>
      <c r="G380" s="2">
        <v>16.670000000000002</v>
      </c>
      <c r="H380" s="2">
        <v>100</v>
      </c>
      <c r="I380" s="2">
        <v>8.33</v>
      </c>
      <c r="J380" s="2">
        <v>13.33</v>
      </c>
      <c r="K380" s="2">
        <v>10</v>
      </c>
      <c r="L380" s="2">
        <v>95</v>
      </c>
      <c r="M380" s="2" t="s">
        <v>395</v>
      </c>
    </row>
    <row r="381" spans="1:13" ht="39.950000000000003" customHeight="1">
      <c r="A381" s="9">
        <v>277</v>
      </c>
      <c r="B381" s="2" t="s">
        <v>90</v>
      </c>
      <c r="C381" s="2" t="s">
        <v>14</v>
      </c>
      <c r="D381" s="10">
        <v>8</v>
      </c>
      <c r="E381" s="2">
        <v>0</v>
      </c>
      <c r="F381" s="2">
        <v>0</v>
      </c>
      <c r="G381" s="2">
        <v>0</v>
      </c>
      <c r="H381" s="2">
        <v>0</v>
      </c>
      <c r="I381" s="2"/>
      <c r="J381" s="2"/>
      <c r="K381" s="2"/>
      <c r="L381" s="2"/>
      <c r="M381" s="2" t="s">
        <v>396</v>
      </c>
    </row>
    <row r="382" spans="1:13" ht="39.950000000000003" customHeight="1">
      <c r="A382" s="9">
        <v>277</v>
      </c>
      <c r="B382" s="2" t="s">
        <v>90</v>
      </c>
      <c r="C382" s="2" t="s">
        <v>14</v>
      </c>
      <c r="D382" s="10">
        <v>8</v>
      </c>
      <c r="E382" s="2">
        <v>0</v>
      </c>
      <c r="F382" s="2">
        <v>0</v>
      </c>
      <c r="G382" s="2">
        <v>0</v>
      </c>
      <c r="H382" s="2">
        <v>0</v>
      </c>
      <c r="I382" s="2"/>
      <c r="J382" s="2"/>
      <c r="K382" s="2"/>
      <c r="L382" s="2"/>
      <c r="M382" s="2" t="s">
        <v>396</v>
      </c>
    </row>
    <row r="383" spans="1:13" ht="39.950000000000003" customHeight="1">
      <c r="A383" s="9">
        <v>278</v>
      </c>
      <c r="B383" s="2" t="s">
        <v>16</v>
      </c>
      <c r="C383" s="2" t="s">
        <v>25</v>
      </c>
      <c r="D383" s="10">
        <v>26</v>
      </c>
      <c r="E383" s="2"/>
      <c r="F383" s="2">
        <v>0</v>
      </c>
      <c r="G383" s="2"/>
      <c r="H383" s="2">
        <f>4/26*100</f>
        <v>15.384615384615385</v>
      </c>
      <c r="I383" s="2">
        <v>0</v>
      </c>
      <c r="J383" s="2"/>
      <c r="K383" s="2">
        <v>0</v>
      </c>
      <c r="L383" s="2">
        <f>1/26*100</f>
        <v>3.8461538461538463</v>
      </c>
      <c r="M383" s="2" t="s">
        <v>397</v>
      </c>
    </row>
    <row r="384" spans="1:13" ht="39.950000000000003" customHeight="1">
      <c r="A384" s="9">
        <v>279</v>
      </c>
      <c r="B384" s="2" t="s">
        <v>16</v>
      </c>
      <c r="C384" s="2" t="s">
        <v>14</v>
      </c>
      <c r="D384" s="10">
        <v>80</v>
      </c>
      <c r="E384" s="2">
        <v>56.25</v>
      </c>
      <c r="F384" s="2">
        <f>1/16*100</f>
        <v>6.25</v>
      </c>
      <c r="G384" s="2">
        <v>0</v>
      </c>
      <c r="H384" s="2">
        <v>56.25</v>
      </c>
      <c r="I384" s="2"/>
      <c r="J384" s="2"/>
      <c r="K384" s="2">
        <v>0</v>
      </c>
      <c r="L384" s="2"/>
      <c r="M384" s="2" t="s">
        <v>398</v>
      </c>
    </row>
    <row r="385" spans="1:13" ht="39.950000000000003" customHeight="1">
      <c r="A385" s="9">
        <v>280</v>
      </c>
      <c r="B385" s="2" t="s">
        <v>166</v>
      </c>
      <c r="C385" s="2" t="s">
        <v>114</v>
      </c>
      <c r="D385" s="10">
        <v>6</v>
      </c>
      <c r="E385" s="2">
        <v>66.666666666666657</v>
      </c>
      <c r="F385" s="2">
        <v>0</v>
      </c>
      <c r="G385" s="2">
        <v>0</v>
      </c>
      <c r="H385" s="2">
        <v>100</v>
      </c>
      <c r="I385" s="2">
        <v>33.333333333333329</v>
      </c>
      <c r="J385" s="2">
        <v>0</v>
      </c>
      <c r="K385" s="2">
        <v>0</v>
      </c>
      <c r="L385" s="2"/>
      <c r="M385" s="2" t="s">
        <v>399</v>
      </c>
    </row>
    <row r="386" spans="1:13" ht="39.950000000000003" customHeight="1">
      <c r="A386" s="9">
        <v>281</v>
      </c>
      <c r="B386" s="2" t="s">
        <v>18</v>
      </c>
      <c r="C386" s="2" t="s">
        <v>25</v>
      </c>
      <c r="D386" s="10">
        <v>75</v>
      </c>
      <c r="E386" s="2">
        <v>100</v>
      </c>
      <c r="F386" s="2">
        <v>2.67</v>
      </c>
      <c r="G386" s="2">
        <v>52</v>
      </c>
      <c r="H386" s="2">
        <v>100</v>
      </c>
      <c r="I386" s="2"/>
      <c r="J386" s="2"/>
      <c r="K386" s="2"/>
      <c r="L386" s="2"/>
      <c r="M386" s="2" t="s">
        <v>400</v>
      </c>
    </row>
    <row r="387" spans="1:13" ht="39.950000000000003" customHeight="1">
      <c r="A387" s="9" t="s">
        <v>401</v>
      </c>
      <c r="B387" s="2" t="s">
        <v>18</v>
      </c>
      <c r="C387" s="2" t="s">
        <v>14</v>
      </c>
      <c r="D387" s="10">
        <v>85</v>
      </c>
      <c r="E387" s="2">
        <v>88.235294117647058</v>
      </c>
      <c r="F387" s="2">
        <v>2.3558823529411765</v>
      </c>
      <c r="G387" s="2">
        <v>52</v>
      </c>
      <c r="H387" s="2">
        <v>88.235294117647058</v>
      </c>
      <c r="I387" s="2">
        <v>0</v>
      </c>
      <c r="J387" s="2">
        <v>0</v>
      </c>
      <c r="K387" s="2">
        <v>0</v>
      </c>
      <c r="L387" s="2">
        <v>0</v>
      </c>
      <c r="M387" s="2" t="s">
        <v>400</v>
      </c>
    </row>
    <row r="388" spans="1:13" ht="39.950000000000003" customHeight="1">
      <c r="A388" s="9" t="s">
        <v>402</v>
      </c>
      <c r="B388" s="2" t="s">
        <v>213</v>
      </c>
      <c r="C388" s="2" t="s">
        <v>25</v>
      </c>
      <c r="D388" s="10">
        <v>32</v>
      </c>
      <c r="E388" s="2">
        <v>0</v>
      </c>
      <c r="F388" s="2">
        <v>7.5</v>
      </c>
      <c r="G388" s="2">
        <v>0</v>
      </c>
      <c r="H388" s="2">
        <v>53.750000000000007</v>
      </c>
      <c r="I388" s="2">
        <v>19.998750000000001</v>
      </c>
      <c r="J388" s="2"/>
      <c r="K388" s="2">
        <v>20</v>
      </c>
      <c r="L388" s="2">
        <v>2.5</v>
      </c>
      <c r="M388" s="2" t="s">
        <v>403</v>
      </c>
    </row>
    <row r="389" spans="1:13" ht="39.950000000000003" customHeight="1">
      <c r="A389" s="9">
        <v>285</v>
      </c>
      <c r="B389" s="2" t="s">
        <v>264</v>
      </c>
      <c r="C389" s="2" t="s">
        <v>70</v>
      </c>
      <c r="D389" s="10">
        <v>8</v>
      </c>
      <c r="E389" s="2"/>
      <c r="F389" s="2"/>
      <c r="G389" s="2"/>
      <c r="H389" s="2"/>
      <c r="I389" s="2"/>
      <c r="J389" s="2"/>
      <c r="K389" s="2">
        <v>0</v>
      </c>
      <c r="L389" s="2"/>
      <c r="M389" s="2" t="s">
        <v>404</v>
      </c>
    </row>
    <row r="390" spans="1:13" ht="39.950000000000003" customHeight="1">
      <c r="A390" s="9">
        <v>286</v>
      </c>
      <c r="B390" s="1" t="s">
        <v>264</v>
      </c>
      <c r="C390" s="1" t="s">
        <v>70</v>
      </c>
      <c r="D390" s="9">
        <v>8</v>
      </c>
      <c r="E390" s="1"/>
      <c r="F390" s="1"/>
      <c r="G390" s="1"/>
      <c r="H390" s="1"/>
      <c r="I390" s="1"/>
      <c r="J390" s="1"/>
      <c r="K390" s="1">
        <v>0</v>
      </c>
      <c r="L390" s="1"/>
      <c r="M390" s="1" t="s">
        <v>404</v>
      </c>
    </row>
    <row r="391" spans="1:13" ht="39.950000000000003" customHeight="1">
      <c r="A391" s="9">
        <v>287</v>
      </c>
      <c r="B391" s="2" t="s">
        <v>264</v>
      </c>
      <c r="C391" s="2"/>
      <c r="D391" s="10">
        <v>3</v>
      </c>
      <c r="E391" s="2">
        <v>0</v>
      </c>
      <c r="F391" s="2">
        <v>0</v>
      </c>
      <c r="G391" s="2"/>
      <c r="H391" s="2">
        <v>0</v>
      </c>
      <c r="I391" s="2">
        <v>0</v>
      </c>
      <c r="J391" s="2"/>
      <c r="K391" s="2"/>
      <c r="L391" s="2">
        <v>0</v>
      </c>
      <c r="M391" s="2" t="s">
        <v>405</v>
      </c>
    </row>
    <row r="392" spans="1:13" ht="39.950000000000003" customHeight="1">
      <c r="A392" s="9">
        <v>287</v>
      </c>
      <c r="B392" s="2" t="s">
        <v>264</v>
      </c>
      <c r="C392" s="2"/>
      <c r="D392" s="10">
        <v>3</v>
      </c>
      <c r="E392" s="2">
        <v>0</v>
      </c>
      <c r="F392" s="2">
        <v>0</v>
      </c>
      <c r="G392" s="2"/>
      <c r="H392" s="2">
        <v>0</v>
      </c>
      <c r="I392" s="2">
        <v>0</v>
      </c>
      <c r="J392" s="2"/>
      <c r="K392" s="2"/>
      <c r="L392" s="2">
        <v>0</v>
      </c>
      <c r="M392" s="2" t="s">
        <v>405</v>
      </c>
    </row>
    <row r="393" spans="1:13" ht="39.950000000000003" customHeight="1">
      <c r="A393" s="9">
        <v>287</v>
      </c>
      <c r="B393" s="2" t="s">
        <v>264</v>
      </c>
      <c r="C393" s="2"/>
      <c r="D393" s="10">
        <v>3</v>
      </c>
      <c r="E393" s="2">
        <v>0</v>
      </c>
      <c r="F393" s="2">
        <v>0</v>
      </c>
      <c r="G393" s="2"/>
      <c r="H393" s="2">
        <v>0</v>
      </c>
      <c r="I393" s="2">
        <v>0</v>
      </c>
      <c r="J393" s="2"/>
      <c r="K393" s="2"/>
      <c r="L393" s="2">
        <v>0</v>
      </c>
      <c r="M393" s="2" t="s">
        <v>406</v>
      </c>
    </row>
    <row r="394" spans="1:13" ht="39.950000000000003" customHeight="1">
      <c r="A394" s="9">
        <v>288</v>
      </c>
      <c r="B394" s="2" t="s">
        <v>264</v>
      </c>
      <c r="C394" s="2" t="s">
        <v>14</v>
      </c>
      <c r="D394" s="10">
        <v>54</v>
      </c>
      <c r="E394" s="2">
        <f>4/9*100</f>
        <v>44.444444444444443</v>
      </c>
      <c r="F394" s="2">
        <v>0</v>
      </c>
      <c r="G394" s="2">
        <v>0</v>
      </c>
      <c r="H394" s="2">
        <v>0</v>
      </c>
      <c r="I394" s="2">
        <v>0</v>
      </c>
      <c r="J394" s="2">
        <f>1/9*100</f>
        <v>11.111111111111111</v>
      </c>
      <c r="K394" s="2">
        <v>0</v>
      </c>
      <c r="L394" s="2">
        <v>0</v>
      </c>
      <c r="M394" s="2" t="s">
        <v>407</v>
      </c>
    </row>
    <row r="395" spans="1:13" ht="39.950000000000003" customHeight="1">
      <c r="A395" s="9">
        <v>289</v>
      </c>
      <c r="B395" s="2" t="s">
        <v>264</v>
      </c>
      <c r="C395" s="2" t="s">
        <v>196</v>
      </c>
      <c r="D395" s="10">
        <v>4</v>
      </c>
      <c r="E395" s="2">
        <v>0</v>
      </c>
      <c r="F395" s="2">
        <v>0</v>
      </c>
      <c r="G395" s="2">
        <v>0</v>
      </c>
      <c r="H395" s="2">
        <v>25</v>
      </c>
      <c r="I395" s="2"/>
      <c r="J395" s="2">
        <v>25</v>
      </c>
      <c r="K395" s="2"/>
      <c r="L395" s="2"/>
      <c r="M395" s="2" t="s">
        <v>408</v>
      </c>
    </row>
    <row r="396" spans="1:13" ht="39.950000000000003" customHeight="1">
      <c r="A396" s="9">
        <v>290</v>
      </c>
      <c r="B396" s="2" t="s">
        <v>409</v>
      </c>
      <c r="C396" s="2" t="s">
        <v>14</v>
      </c>
      <c r="D396" s="10">
        <v>7983</v>
      </c>
      <c r="E396" s="2">
        <v>1.2E-2</v>
      </c>
      <c r="F396" s="2">
        <v>1.2E-2</v>
      </c>
      <c r="G396" s="2">
        <v>2.5000000000000001E-2</v>
      </c>
      <c r="H396" s="2">
        <v>3.6999999999999998E-2</v>
      </c>
      <c r="I396" s="2">
        <v>3.6999999999999998E-2</v>
      </c>
      <c r="J396" s="2">
        <v>2.5000000000000001E-2</v>
      </c>
      <c r="K396" s="2">
        <v>0</v>
      </c>
      <c r="L396" s="2">
        <v>3.6999999999999998E-2</v>
      </c>
      <c r="M396" s="2" t="s">
        <v>410</v>
      </c>
    </row>
    <row r="397" spans="1:13" ht="39.950000000000003" customHeight="1">
      <c r="A397" s="9">
        <v>291</v>
      </c>
      <c r="B397" s="2" t="s">
        <v>409</v>
      </c>
      <c r="C397" s="2" t="s">
        <v>14</v>
      </c>
      <c r="D397" s="10">
        <v>102</v>
      </c>
      <c r="E397" s="2">
        <v>0</v>
      </c>
      <c r="F397" s="2">
        <v>0</v>
      </c>
      <c r="G397" s="2">
        <v>0</v>
      </c>
      <c r="H397" s="2">
        <v>0</v>
      </c>
      <c r="I397" s="2">
        <v>0</v>
      </c>
      <c r="J397" s="2"/>
      <c r="K397" s="2">
        <v>0</v>
      </c>
      <c r="L397" s="2">
        <v>8</v>
      </c>
      <c r="M397" s="2" t="s">
        <v>411</v>
      </c>
    </row>
    <row r="398" spans="1:13" ht="39.950000000000003" customHeight="1">
      <c r="A398" s="9">
        <v>292</v>
      </c>
      <c r="B398" s="2" t="s">
        <v>264</v>
      </c>
      <c r="C398" s="2"/>
      <c r="D398" s="10">
        <v>1564</v>
      </c>
      <c r="E398" s="2">
        <v>0</v>
      </c>
      <c r="F398" s="2">
        <v>0</v>
      </c>
      <c r="G398" s="2">
        <v>0</v>
      </c>
      <c r="H398" s="2">
        <v>0</v>
      </c>
      <c r="I398" s="2">
        <v>0</v>
      </c>
      <c r="J398" s="2">
        <v>0</v>
      </c>
      <c r="K398" s="2">
        <v>0</v>
      </c>
      <c r="L398" s="2">
        <v>0</v>
      </c>
      <c r="M398" s="2" t="s">
        <v>412</v>
      </c>
    </row>
    <row r="399" spans="1:13" ht="39.950000000000003" customHeight="1">
      <c r="A399" s="9">
        <v>293</v>
      </c>
      <c r="B399" s="2" t="s">
        <v>409</v>
      </c>
      <c r="C399" s="2" t="s">
        <v>52</v>
      </c>
      <c r="D399" s="10">
        <v>30</v>
      </c>
      <c r="E399" s="2">
        <v>0</v>
      </c>
      <c r="F399" s="2">
        <v>0</v>
      </c>
      <c r="G399" s="2">
        <v>0</v>
      </c>
      <c r="H399" s="2">
        <v>0</v>
      </c>
      <c r="I399" s="2">
        <v>0</v>
      </c>
      <c r="J399" s="2">
        <v>0</v>
      </c>
      <c r="K399" s="2">
        <v>0</v>
      </c>
      <c r="L399" s="2">
        <v>0</v>
      </c>
      <c r="M399" s="2" t="s">
        <v>413</v>
      </c>
    </row>
    <row r="400" spans="1:13" ht="39.950000000000003" customHeight="1">
      <c r="A400" s="9">
        <v>294</v>
      </c>
      <c r="B400" s="2" t="s">
        <v>13</v>
      </c>
      <c r="C400" s="2" t="s">
        <v>25</v>
      </c>
      <c r="D400" s="10">
        <v>100</v>
      </c>
      <c r="E400" s="2"/>
      <c r="F400" s="2">
        <v>0</v>
      </c>
      <c r="G400" s="2"/>
      <c r="H400" s="2">
        <v>1</v>
      </c>
      <c r="I400" s="2">
        <v>0</v>
      </c>
      <c r="J400" s="2"/>
      <c r="K400" s="2">
        <v>0</v>
      </c>
      <c r="L400" s="2">
        <v>1</v>
      </c>
      <c r="M400" s="2" t="s">
        <v>414</v>
      </c>
    </row>
    <row r="401" spans="1:13" ht="39.950000000000003" customHeight="1">
      <c r="A401" s="9">
        <v>295</v>
      </c>
      <c r="B401" s="2" t="s">
        <v>201</v>
      </c>
      <c r="C401" s="2" t="s">
        <v>52</v>
      </c>
      <c r="D401" s="10">
        <v>200</v>
      </c>
      <c r="E401" s="2"/>
      <c r="F401" s="2">
        <v>0</v>
      </c>
      <c r="G401" s="2"/>
      <c r="H401" s="2">
        <v>3</v>
      </c>
      <c r="I401" s="2"/>
      <c r="J401" s="2"/>
      <c r="K401" s="2"/>
      <c r="L401" s="2"/>
      <c r="M401" s="2" t="s">
        <v>415</v>
      </c>
    </row>
    <row r="402" spans="1:13" ht="39.950000000000003" customHeight="1">
      <c r="A402" s="9">
        <v>296</v>
      </c>
      <c r="B402" s="2" t="s">
        <v>201</v>
      </c>
      <c r="C402" s="2" t="s">
        <v>70</v>
      </c>
      <c r="D402" s="10">
        <v>20</v>
      </c>
      <c r="E402" s="2">
        <v>0</v>
      </c>
      <c r="F402" s="2">
        <v>0</v>
      </c>
      <c r="G402" s="2">
        <v>0</v>
      </c>
      <c r="H402" s="2">
        <v>0</v>
      </c>
      <c r="I402" s="2">
        <v>0</v>
      </c>
      <c r="J402" s="2"/>
      <c r="K402" s="2">
        <v>0</v>
      </c>
      <c r="L402" s="2">
        <v>0</v>
      </c>
      <c r="M402" s="3" t="s">
        <v>416</v>
      </c>
    </row>
    <row r="403" spans="1:13" ht="39.950000000000003" customHeight="1">
      <c r="A403" s="9">
        <v>297</v>
      </c>
      <c r="B403" s="2" t="s">
        <v>201</v>
      </c>
      <c r="C403" s="2" t="s">
        <v>417</v>
      </c>
      <c r="D403" s="10">
        <v>27</v>
      </c>
      <c r="E403" s="2">
        <v>0</v>
      </c>
      <c r="F403" s="2">
        <v>0</v>
      </c>
      <c r="G403" s="2">
        <v>0</v>
      </c>
      <c r="H403" s="2"/>
      <c r="I403" s="2"/>
      <c r="J403" s="2"/>
      <c r="K403" s="2">
        <v>0</v>
      </c>
      <c r="L403" s="2"/>
      <c r="M403" s="2" t="s">
        <v>418</v>
      </c>
    </row>
    <row r="404" spans="1:13" ht="39.950000000000003" customHeight="1">
      <c r="A404" s="9">
        <v>297</v>
      </c>
      <c r="B404" s="2" t="s">
        <v>201</v>
      </c>
      <c r="C404" s="2" t="s">
        <v>417</v>
      </c>
      <c r="D404" s="10">
        <v>54</v>
      </c>
      <c r="E404" s="2">
        <v>0</v>
      </c>
      <c r="F404" s="2">
        <v>0</v>
      </c>
      <c r="G404" s="2">
        <v>0</v>
      </c>
      <c r="H404" s="2"/>
      <c r="I404" s="2"/>
      <c r="J404" s="2"/>
      <c r="K404" s="2">
        <v>3.7</v>
      </c>
      <c r="L404" s="2"/>
      <c r="M404" s="2" t="s">
        <v>419</v>
      </c>
    </row>
    <row r="405" spans="1:13" ht="39.950000000000003" customHeight="1">
      <c r="A405" s="9">
        <v>298</v>
      </c>
      <c r="B405" s="2" t="s">
        <v>201</v>
      </c>
      <c r="C405" s="2" t="s">
        <v>220</v>
      </c>
      <c r="D405" s="10">
        <v>11</v>
      </c>
      <c r="E405" s="2">
        <v>0</v>
      </c>
      <c r="F405" s="2">
        <v>0</v>
      </c>
      <c r="G405" s="2">
        <v>0</v>
      </c>
      <c r="H405" s="2">
        <v>0</v>
      </c>
      <c r="I405" s="2">
        <v>0</v>
      </c>
      <c r="J405" s="2">
        <v>0</v>
      </c>
      <c r="K405" s="2">
        <v>0</v>
      </c>
      <c r="L405" s="2">
        <v>0</v>
      </c>
      <c r="M405" s="2" t="s">
        <v>420</v>
      </c>
    </row>
    <row r="406" spans="1:13" ht="39.950000000000003" customHeight="1">
      <c r="A406" s="9">
        <v>299</v>
      </c>
      <c r="B406" s="2" t="s">
        <v>51</v>
      </c>
      <c r="C406" s="2" t="s">
        <v>14</v>
      </c>
      <c r="D406" s="10">
        <v>162</v>
      </c>
      <c r="E406" s="2">
        <v>0</v>
      </c>
      <c r="F406" s="2">
        <v>0</v>
      </c>
      <c r="G406" s="2"/>
      <c r="H406" s="2">
        <v>0</v>
      </c>
      <c r="I406" s="2"/>
      <c r="J406" s="2"/>
      <c r="K406" s="2">
        <v>0</v>
      </c>
      <c r="L406" s="2">
        <f>100-98.7</f>
        <v>1.2999999999999972</v>
      </c>
      <c r="M406" s="2" t="s">
        <v>421</v>
      </c>
    </row>
    <row r="407" spans="1:13" ht="39.950000000000003" customHeight="1">
      <c r="A407" s="9">
        <v>300</v>
      </c>
      <c r="B407" s="1" t="s">
        <v>84</v>
      </c>
      <c r="C407" s="2" t="s">
        <v>14</v>
      </c>
      <c r="D407" s="9">
        <v>15</v>
      </c>
      <c r="E407" s="1"/>
      <c r="F407" s="1"/>
      <c r="G407" s="1"/>
      <c r="H407" s="1"/>
      <c r="I407" s="1"/>
      <c r="J407" s="1"/>
      <c r="K407" s="1"/>
      <c r="L407" s="1"/>
      <c r="M407" s="1"/>
    </row>
    <row r="408" spans="1:13" ht="39.950000000000003" customHeight="1">
      <c r="A408" s="9">
        <v>301</v>
      </c>
      <c r="B408" s="2" t="s">
        <v>30</v>
      </c>
      <c r="C408" s="2" t="s">
        <v>14</v>
      </c>
      <c r="D408" s="10">
        <v>29</v>
      </c>
      <c r="E408" s="2">
        <v>0</v>
      </c>
      <c r="F408" s="2">
        <v>0</v>
      </c>
      <c r="G408" s="2">
        <v>0</v>
      </c>
      <c r="H408" s="2">
        <v>34.46206896551724</v>
      </c>
      <c r="I408" s="2">
        <v>0</v>
      </c>
      <c r="J408" s="2"/>
      <c r="K408" s="2">
        <v>0</v>
      </c>
      <c r="L408" s="2">
        <v>0</v>
      </c>
      <c r="M408" s="2" t="s">
        <v>422</v>
      </c>
    </row>
    <row r="409" spans="1:13" ht="39.950000000000003" customHeight="1">
      <c r="A409" s="9">
        <v>301</v>
      </c>
      <c r="B409" s="2" t="s">
        <v>24</v>
      </c>
      <c r="C409" s="2"/>
      <c r="D409" s="10">
        <v>22</v>
      </c>
      <c r="E409" s="2">
        <v>0</v>
      </c>
      <c r="F409" s="2">
        <v>0</v>
      </c>
      <c r="G409" s="2">
        <v>0</v>
      </c>
      <c r="H409" s="2">
        <v>59.095454545454551</v>
      </c>
      <c r="I409" s="2">
        <v>0</v>
      </c>
      <c r="J409" s="2"/>
      <c r="K409" s="2">
        <v>0</v>
      </c>
      <c r="L409" s="2">
        <v>0</v>
      </c>
      <c r="M409" s="2" t="s">
        <v>422</v>
      </c>
    </row>
    <row r="410" spans="1:13" ht="39.950000000000003" customHeight="1">
      <c r="A410" s="9">
        <v>301</v>
      </c>
      <c r="B410" s="2" t="s">
        <v>73</v>
      </c>
      <c r="C410" s="2" t="s">
        <v>14</v>
      </c>
      <c r="D410" s="10">
        <v>48</v>
      </c>
      <c r="E410" s="2"/>
      <c r="F410" s="2"/>
      <c r="G410" s="2"/>
      <c r="H410" s="2">
        <v>81.264583333333334</v>
      </c>
      <c r="I410" s="2"/>
      <c r="J410" s="2"/>
      <c r="K410" s="2"/>
      <c r="L410" s="2"/>
      <c r="M410" s="2" t="s">
        <v>423</v>
      </c>
    </row>
    <row r="411" spans="1:13" ht="39.950000000000003" customHeight="1">
      <c r="A411" s="9">
        <v>301</v>
      </c>
      <c r="B411" s="2" t="s">
        <v>424</v>
      </c>
      <c r="C411" s="2" t="s">
        <v>14</v>
      </c>
      <c r="D411" s="10">
        <v>28</v>
      </c>
      <c r="E411" s="2"/>
      <c r="F411" s="2"/>
      <c r="G411" s="2"/>
      <c r="H411" s="2">
        <v>100</v>
      </c>
      <c r="I411" s="2"/>
      <c r="J411" s="2"/>
      <c r="K411" s="2"/>
      <c r="L411" s="2"/>
      <c r="M411" s="2" t="s">
        <v>423</v>
      </c>
    </row>
    <row r="412" spans="1:13" ht="39.950000000000003" customHeight="1">
      <c r="A412" s="9">
        <v>302</v>
      </c>
      <c r="B412" s="2" t="s">
        <v>18</v>
      </c>
      <c r="C412" s="2" t="s">
        <v>14</v>
      </c>
      <c r="D412" s="10">
        <v>235</v>
      </c>
      <c r="E412" s="2">
        <v>8.5</v>
      </c>
      <c r="F412" s="2">
        <v>2.6</v>
      </c>
      <c r="G412" s="2">
        <v>3.4</v>
      </c>
      <c r="H412" s="2">
        <v>3</v>
      </c>
      <c r="I412" s="2">
        <v>0</v>
      </c>
      <c r="J412" s="2"/>
      <c r="K412" s="2">
        <v>0</v>
      </c>
      <c r="L412" s="2">
        <v>30.6</v>
      </c>
      <c r="M412" s="2" t="s">
        <v>425</v>
      </c>
    </row>
    <row r="413" spans="1:13" ht="39.950000000000003" customHeight="1">
      <c r="A413" s="9">
        <v>303</v>
      </c>
      <c r="B413" s="2" t="s">
        <v>16</v>
      </c>
      <c r="C413" s="2" t="s">
        <v>52</v>
      </c>
      <c r="D413" s="10">
        <v>25</v>
      </c>
      <c r="E413" s="2">
        <v>0</v>
      </c>
      <c r="F413" s="2">
        <v>0</v>
      </c>
      <c r="G413" s="2">
        <f>1/25*100</f>
        <v>4</v>
      </c>
      <c r="H413" s="2">
        <f>9/25*100</f>
        <v>36</v>
      </c>
      <c r="I413" s="2">
        <v>0</v>
      </c>
      <c r="J413" s="2">
        <v>0</v>
      </c>
      <c r="K413" s="2">
        <v>0</v>
      </c>
      <c r="L413" s="2">
        <v>0</v>
      </c>
      <c r="M413" s="2" t="s">
        <v>426</v>
      </c>
    </row>
    <row r="414" spans="1:13" ht="39.950000000000003" customHeight="1">
      <c r="A414" s="9">
        <v>304</v>
      </c>
      <c r="B414" s="1" t="s">
        <v>82</v>
      </c>
      <c r="C414" s="1"/>
      <c r="D414" s="9">
        <v>147</v>
      </c>
      <c r="E414" s="1"/>
      <c r="F414" s="1">
        <v>0</v>
      </c>
      <c r="G414" s="1"/>
      <c r="H414" s="1">
        <v>0</v>
      </c>
      <c r="I414" s="1">
        <v>0</v>
      </c>
      <c r="J414" s="1"/>
      <c r="K414" s="1">
        <v>0</v>
      </c>
      <c r="L414" s="1">
        <v>0</v>
      </c>
      <c r="M414" s="1" t="s">
        <v>427</v>
      </c>
    </row>
    <row r="415" spans="1:13" ht="39.950000000000003" customHeight="1">
      <c r="A415" s="9">
        <v>305</v>
      </c>
      <c r="B415" s="2" t="s">
        <v>123</v>
      </c>
      <c r="C415" s="2"/>
      <c r="D415" s="10">
        <v>68</v>
      </c>
      <c r="E415" s="2"/>
      <c r="F415" s="2">
        <v>0</v>
      </c>
      <c r="G415" s="2"/>
      <c r="H415" s="2">
        <v>0</v>
      </c>
      <c r="I415" s="2">
        <v>0</v>
      </c>
      <c r="J415" s="2"/>
      <c r="K415" s="2">
        <v>0</v>
      </c>
      <c r="L415" s="2">
        <v>0</v>
      </c>
      <c r="M415" s="1" t="s">
        <v>428</v>
      </c>
    </row>
    <row r="416" spans="1:13" ht="39.950000000000003" customHeight="1">
      <c r="A416" s="9">
        <v>306</v>
      </c>
      <c r="B416" s="2" t="s">
        <v>166</v>
      </c>
      <c r="C416" s="6" t="s">
        <v>25</v>
      </c>
      <c r="D416" s="10">
        <v>42</v>
      </c>
      <c r="E416" s="2">
        <v>0</v>
      </c>
      <c r="F416" s="2">
        <v>0</v>
      </c>
      <c r="G416" s="2">
        <v>0</v>
      </c>
      <c r="H416" s="2">
        <v>0</v>
      </c>
      <c r="I416" s="2"/>
      <c r="J416" s="2">
        <v>0</v>
      </c>
      <c r="K416" s="2">
        <v>0</v>
      </c>
      <c r="L416" s="2"/>
      <c r="M416" s="2" t="s">
        <v>429</v>
      </c>
    </row>
    <row r="417" spans="1:13" ht="39.950000000000003" customHeight="1">
      <c r="A417" s="9">
        <v>307</v>
      </c>
      <c r="B417" s="2" t="s">
        <v>20</v>
      </c>
      <c r="C417" s="2" t="s">
        <v>14</v>
      </c>
      <c r="D417" s="10">
        <v>37</v>
      </c>
      <c r="E417" s="2">
        <f>9/37*100</f>
        <v>24.324324324324326</v>
      </c>
      <c r="F417" s="2">
        <v>0</v>
      </c>
      <c r="G417" s="2"/>
      <c r="H417" s="2"/>
      <c r="I417" s="2"/>
      <c r="J417" s="2"/>
      <c r="K417" s="2"/>
      <c r="L417" s="2"/>
      <c r="M417" s="2" t="s">
        <v>430</v>
      </c>
    </row>
    <row r="418" spans="1:13" ht="39.950000000000003" customHeight="1">
      <c r="A418" s="9">
        <v>308</v>
      </c>
      <c r="B418" s="2" t="s">
        <v>48</v>
      </c>
      <c r="C418" s="2" t="s">
        <v>36</v>
      </c>
      <c r="D418" s="10">
        <v>80</v>
      </c>
      <c r="E418" s="2">
        <v>80</v>
      </c>
      <c r="F418" s="2">
        <v>93.3</v>
      </c>
      <c r="G418" s="2">
        <v>83.33</v>
      </c>
      <c r="H418" s="2">
        <v>100</v>
      </c>
      <c r="I418" s="2"/>
      <c r="J418" s="2"/>
      <c r="K418" s="2"/>
      <c r="L418" s="2"/>
      <c r="M418" s="2" t="s">
        <v>431</v>
      </c>
    </row>
    <row r="419" spans="1:13" ht="39.950000000000003" customHeight="1">
      <c r="A419" s="9">
        <v>309</v>
      </c>
      <c r="B419" s="2" t="s">
        <v>213</v>
      </c>
      <c r="C419" s="2" t="s">
        <v>253</v>
      </c>
      <c r="D419" s="10">
        <v>91</v>
      </c>
      <c r="E419" s="2">
        <v>19</v>
      </c>
      <c r="F419" s="2">
        <v>36</v>
      </c>
      <c r="G419" s="2">
        <v>97</v>
      </c>
      <c r="H419" s="2">
        <v>100</v>
      </c>
      <c r="I419" s="2">
        <v>36</v>
      </c>
      <c r="J419" s="2">
        <v>41</v>
      </c>
      <c r="K419" s="2">
        <v>21</v>
      </c>
      <c r="L419" s="2">
        <v>84</v>
      </c>
      <c r="M419" s="2" t="s">
        <v>432</v>
      </c>
    </row>
    <row r="420" spans="1:13" ht="39.950000000000003" customHeight="1">
      <c r="A420" s="9">
        <v>310</v>
      </c>
      <c r="B420" s="2" t="s">
        <v>61</v>
      </c>
      <c r="C420" s="2" t="s">
        <v>14</v>
      </c>
      <c r="D420" s="10">
        <v>9</v>
      </c>
      <c r="E420" s="2">
        <f>8/9*100</f>
        <v>88.888888888888886</v>
      </c>
      <c r="F420" s="2">
        <v>0</v>
      </c>
      <c r="G420" s="2"/>
      <c r="H420" s="2">
        <f>7/9*100</f>
        <v>77.777777777777786</v>
      </c>
      <c r="I420" s="2">
        <v>0</v>
      </c>
      <c r="J420" s="2"/>
      <c r="K420" s="2"/>
      <c r="L420" s="2">
        <v>0</v>
      </c>
      <c r="M420" s="2" t="s">
        <v>433</v>
      </c>
    </row>
    <row r="421" spans="1:13" ht="39.950000000000003" customHeight="1">
      <c r="A421" s="9">
        <v>311</v>
      </c>
      <c r="B421" s="2" t="s">
        <v>61</v>
      </c>
      <c r="C421" s="2" t="s">
        <v>253</v>
      </c>
      <c r="D421" s="10">
        <v>10</v>
      </c>
      <c r="E421" s="2"/>
      <c r="F421" s="2">
        <f>40</f>
        <v>40</v>
      </c>
      <c r="G421" s="2"/>
      <c r="H421" s="2">
        <v>100</v>
      </c>
      <c r="I421" s="2"/>
      <c r="J421" s="2"/>
      <c r="K421" s="2"/>
      <c r="L421" s="2"/>
      <c r="M421" s="2" t="s">
        <v>434</v>
      </c>
    </row>
    <row r="422" spans="1:13" ht="39.950000000000003" customHeight="1">
      <c r="A422" s="9">
        <v>312</v>
      </c>
      <c r="B422" s="2" t="s">
        <v>20</v>
      </c>
      <c r="C422" s="2" t="s">
        <v>36</v>
      </c>
      <c r="D422" s="10">
        <v>1</v>
      </c>
      <c r="E422" s="2">
        <f>6/8*100</f>
        <v>75</v>
      </c>
      <c r="F422" s="2">
        <f>6/8*100</f>
        <v>75</v>
      </c>
      <c r="G422" s="2">
        <f>7/8*100</f>
        <v>87.5</v>
      </c>
      <c r="H422" s="2">
        <f>7/8*100</f>
        <v>87.5</v>
      </c>
      <c r="I422" s="2"/>
      <c r="J422" s="2"/>
      <c r="K422" s="2"/>
      <c r="L422" s="2"/>
      <c r="M422" s="2" t="s">
        <v>435</v>
      </c>
    </row>
    <row r="423" spans="1:13" ht="39.950000000000003" customHeight="1">
      <c r="A423" s="9">
        <v>313</v>
      </c>
      <c r="B423" s="2" t="s">
        <v>30</v>
      </c>
      <c r="C423" s="2" t="s">
        <v>14</v>
      </c>
      <c r="D423" s="10">
        <v>14</v>
      </c>
      <c r="E423" s="2">
        <v>0</v>
      </c>
      <c r="F423" s="2">
        <v>0</v>
      </c>
      <c r="G423" s="2">
        <v>0</v>
      </c>
      <c r="H423" s="2">
        <v>0</v>
      </c>
      <c r="I423" s="2">
        <v>0</v>
      </c>
      <c r="J423" s="2">
        <v>0</v>
      </c>
      <c r="K423" s="2">
        <v>0</v>
      </c>
      <c r="L423" s="2">
        <v>0</v>
      </c>
      <c r="M423" s="2" t="s">
        <v>436</v>
      </c>
    </row>
    <row r="424" spans="1:13" ht="39.950000000000003" customHeight="1">
      <c r="A424" s="9">
        <v>314</v>
      </c>
      <c r="B424" s="2" t="s">
        <v>30</v>
      </c>
      <c r="C424" s="2" t="s">
        <v>14</v>
      </c>
      <c r="D424" s="10">
        <v>15</v>
      </c>
      <c r="E424" s="2">
        <v>0</v>
      </c>
      <c r="F424" s="2">
        <v>0</v>
      </c>
      <c r="G424" s="2">
        <v>0</v>
      </c>
      <c r="H424" s="2">
        <f>1/15*100</f>
        <v>6.666666666666667</v>
      </c>
      <c r="I424" s="2">
        <v>0</v>
      </c>
      <c r="J424" s="2"/>
      <c r="K424" s="2">
        <v>0</v>
      </c>
      <c r="L424" s="2">
        <v>0</v>
      </c>
      <c r="M424" s="2" t="s">
        <v>437</v>
      </c>
    </row>
    <row r="425" spans="1:13" ht="39.950000000000003" customHeight="1">
      <c r="A425" s="9">
        <v>314</v>
      </c>
      <c r="B425" s="2" t="s">
        <v>30</v>
      </c>
      <c r="C425" s="2" t="s">
        <v>14</v>
      </c>
      <c r="D425" s="10">
        <v>12</v>
      </c>
      <c r="E425" s="2">
        <v>0</v>
      </c>
      <c r="F425" s="2">
        <v>0</v>
      </c>
      <c r="G425" s="2">
        <v>0</v>
      </c>
      <c r="H425" s="2">
        <f>3/12*100</f>
        <v>25</v>
      </c>
      <c r="I425" s="2">
        <v>0</v>
      </c>
      <c r="J425" s="2"/>
      <c r="K425" s="2">
        <v>0</v>
      </c>
      <c r="L425" s="2">
        <v>0</v>
      </c>
      <c r="M425" s="2" t="s">
        <v>437</v>
      </c>
    </row>
    <row r="426" spans="1:13" ht="39.950000000000003" customHeight="1">
      <c r="A426" s="9">
        <v>314</v>
      </c>
      <c r="B426" s="2" t="s">
        <v>30</v>
      </c>
      <c r="C426" s="2" t="s">
        <v>14</v>
      </c>
      <c r="D426" s="10">
        <v>10</v>
      </c>
      <c r="E426" s="2">
        <v>0</v>
      </c>
      <c r="F426" s="2">
        <v>0</v>
      </c>
      <c r="G426" s="2">
        <v>0</v>
      </c>
      <c r="H426" s="2">
        <v>100</v>
      </c>
      <c r="I426" s="2">
        <v>0</v>
      </c>
      <c r="J426" s="2"/>
      <c r="K426" s="2">
        <v>0</v>
      </c>
      <c r="L426" s="2">
        <v>0</v>
      </c>
      <c r="M426" s="2" t="s">
        <v>437</v>
      </c>
    </row>
    <row r="427" spans="1:13" ht="39.950000000000003" customHeight="1">
      <c r="A427" s="9">
        <v>315</v>
      </c>
      <c r="B427" s="2" t="s">
        <v>438</v>
      </c>
      <c r="C427" s="2" t="s">
        <v>14</v>
      </c>
      <c r="D427" s="10">
        <v>13</v>
      </c>
      <c r="E427" s="2">
        <v>0</v>
      </c>
      <c r="F427" s="2">
        <v>0</v>
      </c>
      <c r="G427" s="2"/>
      <c r="H427" s="2">
        <v>0</v>
      </c>
      <c r="I427" s="2">
        <v>0</v>
      </c>
      <c r="J427" s="2"/>
      <c r="K427" s="2">
        <v>0</v>
      </c>
      <c r="L427" s="2">
        <v>0</v>
      </c>
      <c r="M427" s="2" t="s">
        <v>439</v>
      </c>
    </row>
    <row r="428" spans="1:13" ht="39.950000000000003" customHeight="1">
      <c r="A428" s="9">
        <v>315</v>
      </c>
      <c r="B428" s="2" t="s">
        <v>438</v>
      </c>
      <c r="C428" s="2" t="s">
        <v>14</v>
      </c>
      <c r="D428" s="10">
        <v>19</v>
      </c>
      <c r="E428" s="2">
        <v>0</v>
      </c>
      <c r="F428" s="2">
        <v>0</v>
      </c>
      <c r="G428" s="2"/>
      <c r="H428" s="2">
        <v>0</v>
      </c>
      <c r="I428" s="2">
        <v>0</v>
      </c>
      <c r="J428" s="2"/>
      <c r="K428" s="2">
        <v>0</v>
      </c>
      <c r="L428" s="2">
        <f>1/19*100</f>
        <v>5.2631578947368416</v>
      </c>
      <c r="M428" s="2" t="s">
        <v>439</v>
      </c>
    </row>
    <row r="429" spans="1:13" ht="39.950000000000003" customHeight="1">
      <c r="A429" s="9">
        <v>316</v>
      </c>
      <c r="B429" s="1" t="s">
        <v>46</v>
      </c>
      <c r="C429" s="7" t="s">
        <v>440</v>
      </c>
      <c r="D429" s="9">
        <v>1</v>
      </c>
      <c r="E429" s="1"/>
      <c r="F429" s="1"/>
      <c r="G429" s="1"/>
      <c r="H429" s="1"/>
      <c r="I429" s="1"/>
      <c r="J429" s="1"/>
      <c r="K429" s="1"/>
      <c r="L429" s="1">
        <v>0</v>
      </c>
      <c r="M429" s="1" t="s">
        <v>441</v>
      </c>
    </row>
    <row r="430" spans="1:13" ht="39.950000000000003" customHeight="1">
      <c r="A430" s="9">
        <v>317</v>
      </c>
      <c r="B430" s="1" t="s">
        <v>87</v>
      </c>
      <c r="C430" s="1" t="s">
        <v>14</v>
      </c>
      <c r="D430" s="9">
        <v>96</v>
      </c>
      <c r="E430" s="1"/>
      <c r="F430" s="1">
        <v>1.04</v>
      </c>
      <c r="G430" s="1"/>
      <c r="H430" s="1"/>
      <c r="I430" s="1"/>
      <c r="J430" s="1"/>
      <c r="K430" s="1">
        <v>0</v>
      </c>
      <c r="L430" s="1">
        <f>100-94.79</f>
        <v>5.2099999999999937</v>
      </c>
      <c r="M430" s="1" t="s">
        <v>442</v>
      </c>
    </row>
    <row r="431" spans="1:13" ht="39.950000000000003" customHeight="1">
      <c r="A431" s="9">
        <v>318</v>
      </c>
      <c r="B431" s="2" t="s">
        <v>30</v>
      </c>
      <c r="C431" s="2" t="s">
        <v>14</v>
      </c>
      <c r="D431" s="10">
        <v>445</v>
      </c>
      <c r="E431" s="2"/>
      <c r="F431" s="2">
        <v>0</v>
      </c>
      <c r="G431" s="2">
        <v>0</v>
      </c>
      <c r="H431" s="2">
        <v>5.2</v>
      </c>
      <c r="I431" s="2"/>
      <c r="J431" s="2">
        <v>1.1000000000000001</v>
      </c>
      <c r="K431" s="2">
        <v>0.09</v>
      </c>
      <c r="L431" s="2">
        <v>2.2000000000000002</v>
      </c>
      <c r="M431" s="2" t="s">
        <v>443</v>
      </c>
    </row>
    <row r="432" spans="1:13" ht="39.950000000000003" customHeight="1">
      <c r="A432" s="9">
        <v>319</v>
      </c>
      <c r="B432" s="1" t="s">
        <v>438</v>
      </c>
      <c r="C432" s="1" t="s">
        <v>52</v>
      </c>
      <c r="D432" s="9">
        <v>129</v>
      </c>
      <c r="E432" s="1"/>
      <c r="F432" s="1"/>
      <c r="G432" s="1"/>
      <c r="H432" s="1"/>
      <c r="I432" s="1"/>
      <c r="J432" s="1"/>
      <c r="K432" s="1"/>
      <c r="L432" s="1">
        <v>0</v>
      </c>
      <c r="M432" s="1" t="s">
        <v>444</v>
      </c>
    </row>
    <row r="433" spans="1:13" ht="39.950000000000003" customHeight="1">
      <c r="A433" s="9">
        <v>320</v>
      </c>
      <c r="B433" s="2" t="s">
        <v>166</v>
      </c>
      <c r="C433" s="2" t="s">
        <v>25</v>
      </c>
      <c r="D433" s="10">
        <v>40</v>
      </c>
      <c r="E433" s="2"/>
      <c r="F433" s="2">
        <v>0</v>
      </c>
      <c r="G433" s="2"/>
      <c r="H433" s="2"/>
      <c r="I433" s="2">
        <v>0</v>
      </c>
      <c r="J433" s="2"/>
      <c r="K433" s="2">
        <v>0</v>
      </c>
      <c r="L433" s="2">
        <f>10</f>
        <v>10</v>
      </c>
      <c r="M433" s="2" t="s">
        <v>445</v>
      </c>
    </row>
    <row r="434" spans="1:13" ht="39.950000000000003" customHeight="1">
      <c r="A434" s="9">
        <v>321</v>
      </c>
      <c r="B434" s="2" t="s">
        <v>446</v>
      </c>
      <c r="C434" s="2" t="s">
        <v>52</v>
      </c>
      <c r="D434" s="10">
        <v>5</v>
      </c>
      <c r="E434" s="2">
        <v>0</v>
      </c>
      <c r="F434" s="2">
        <v>0</v>
      </c>
      <c r="G434" s="2">
        <v>0</v>
      </c>
      <c r="H434" s="2">
        <v>0</v>
      </c>
      <c r="I434" s="2"/>
      <c r="J434" s="2">
        <v>0</v>
      </c>
      <c r="K434" s="2">
        <v>0</v>
      </c>
      <c r="L434" s="2"/>
      <c r="M434" s="2" t="s">
        <v>447</v>
      </c>
    </row>
    <row r="435" spans="1:13" ht="39.950000000000003" customHeight="1">
      <c r="A435" s="9">
        <v>322</v>
      </c>
      <c r="B435" s="2" t="s">
        <v>107</v>
      </c>
      <c r="C435" s="2" t="s">
        <v>52</v>
      </c>
      <c r="D435" s="10">
        <v>12</v>
      </c>
      <c r="E435" s="2">
        <v>0</v>
      </c>
      <c r="F435" s="2">
        <v>0</v>
      </c>
      <c r="G435" s="2">
        <v>0</v>
      </c>
      <c r="H435" s="2">
        <v>0</v>
      </c>
      <c r="I435" s="2">
        <v>0</v>
      </c>
      <c r="J435" s="2"/>
      <c r="K435" s="2">
        <v>0</v>
      </c>
      <c r="L435" s="2">
        <v>0</v>
      </c>
      <c r="M435" s="2" t="s">
        <v>448</v>
      </c>
    </row>
    <row r="436" spans="1:13" ht="39.950000000000003" customHeight="1">
      <c r="A436" s="9">
        <v>322</v>
      </c>
      <c r="B436" s="2" t="s">
        <v>446</v>
      </c>
      <c r="C436" s="2" t="s">
        <v>52</v>
      </c>
      <c r="D436" s="10">
        <f>68-12</f>
        <v>56</v>
      </c>
      <c r="E436" s="2">
        <v>0</v>
      </c>
      <c r="F436" s="2">
        <v>0</v>
      </c>
      <c r="G436" s="2">
        <v>0</v>
      </c>
      <c r="H436" s="2">
        <f>20/56*100</f>
        <v>35.714285714285715</v>
      </c>
      <c r="I436" s="2">
        <v>0</v>
      </c>
      <c r="J436" s="2"/>
      <c r="K436" s="2">
        <v>0</v>
      </c>
      <c r="L436" s="2">
        <v>0</v>
      </c>
      <c r="M436" s="2" t="s">
        <v>449</v>
      </c>
    </row>
    <row r="437" spans="1:13" ht="39.950000000000003" customHeight="1">
      <c r="A437" s="9">
        <v>323</v>
      </c>
      <c r="B437" s="2" t="s">
        <v>252</v>
      </c>
      <c r="C437" s="2" t="s">
        <v>14</v>
      </c>
      <c r="D437" s="10">
        <v>74</v>
      </c>
      <c r="E437" s="2"/>
      <c r="F437" s="2">
        <v>0</v>
      </c>
      <c r="G437" s="2"/>
      <c r="H437" s="2">
        <v>0</v>
      </c>
      <c r="I437" s="2">
        <v>0</v>
      </c>
      <c r="J437" s="2"/>
      <c r="K437" s="2">
        <v>0</v>
      </c>
      <c r="L437" s="2">
        <f>1/74*100</f>
        <v>1.3513513513513513</v>
      </c>
      <c r="M437" s="2" t="s">
        <v>450</v>
      </c>
    </row>
    <row r="438" spans="1:13" ht="39.950000000000003" customHeight="1">
      <c r="A438" s="9">
        <v>324</v>
      </c>
      <c r="B438" s="2" t="s">
        <v>213</v>
      </c>
      <c r="C438" s="2" t="s">
        <v>52</v>
      </c>
      <c r="D438" s="10">
        <v>1</v>
      </c>
      <c r="E438" s="2">
        <v>0</v>
      </c>
      <c r="F438" s="2">
        <v>0</v>
      </c>
      <c r="G438" s="2">
        <v>0</v>
      </c>
      <c r="H438" s="2">
        <v>0</v>
      </c>
      <c r="I438" s="2">
        <v>0</v>
      </c>
      <c r="J438" s="2">
        <v>0</v>
      </c>
      <c r="K438" s="2">
        <v>0</v>
      </c>
      <c r="L438" s="2">
        <v>0</v>
      </c>
      <c r="M438" s="2" t="s">
        <v>451</v>
      </c>
    </row>
    <row r="439" spans="1:13" ht="39.950000000000003" customHeight="1">
      <c r="A439" s="9">
        <v>325</v>
      </c>
      <c r="B439" s="2" t="s">
        <v>30</v>
      </c>
      <c r="C439" s="2" t="s">
        <v>14</v>
      </c>
      <c r="D439" s="10">
        <v>37</v>
      </c>
      <c r="E439" s="2">
        <v>0</v>
      </c>
      <c r="F439" s="2">
        <v>0</v>
      </c>
      <c r="G439" s="2">
        <v>0</v>
      </c>
      <c r="H439" s="2">
        <f>4/37*100</f>
        <v>10.810810810810811</v>
      </c>
      <c r="I439" s="2"/>
      <c r="J439" s="2"/>
      <c r="K439" s="2"/>
      <c r="L439" s="2"/>
      <c r="M439" s="2" t="s">
        <v>452</v>
      </c>
    </row>
    <row r="440" spans="1:13" ht="39.950000000000003" customHeight="1">
      <c r="A440" s="9">
        <v>326</v>
      </c>
      <c r="B440" s="1" t="s">
        <v>30</v>
      </c>
      <c r="C440" s="1"/>
      <c r="D440" s="9">
        <v>39</v>
      </c>
      <c r="E440" s="1">
        <v>0</v>
      </c>
      <c r="F440" s="1">
        <v>0</v>
      </c>
      <c r="G440" s="1">
        <v>0</v>
      </c>
      <c r="H440" s="1">
        <v>0</v>
      </c>
      <c r="I440" s="1"/>
      <c r="J440" s="1">
        <v>0</v>
      </c>
      <c r="K440" s="1">
        <v>0</v>
      </c>
      <c r="L440" s="1">
        <v>0</v>
      </c>
      <c r="M440" s="1" t="s">
        <v>453</v>
      </c>
    </row>
    <row r="441" spans="1:13" ht="39.950000000000003" customHeight="1">
      <c r="A441" s="9">
        <v>326</v>
      </c>
      <c r="B441" s="1" t="s">
        <v>30</v>
      </c>
      <c r="C441" s="1" t="s">
        <v>52</v>
      </c>
      <c r="D441" s="9">
        <v>21</v>
      </c>
      <c r="E441" s="2">
        <v>0</v>
      </c>
      <c r="F441" s="2">
        <v>0</v>
      </c>
      <c r="G441" s="2">
        <v>0</v>
      </c>
      <c r="H441" s="2">
        <v>0</v>
      </c>
      <c r="I441" s="2">
        <v>0</v>
      </c>
      <c r="J441" s="2">
        <v>0</v>
      </c>
      <c r="K441" s="2">
        <v>0</v>
      </c>
      <c r="L441" s="2">
        <v>0</v>
      </c>
      <c r="M441" s="2" t="s">
        <v>454</v>
      </c>
    </row>
    <row r="442" spans="1:13" ht="39.950000000000003" customHeight="1">
      <c r="A442" s="9">
        <v>326</v>
      </c>
      <c r="B442" s="1" t="s">
        <v>30</v>
      </c>
      <c r="C442" s="1" t="s">
        <v>52</v>
      </c>
      <c r="D442" s="9">
        <v>37</v>
      </c>
      <c r="E442" s="2">
        <v>5.41</v>
      </c>
      <c r="F442" s="2">
        <v>0</v>
      </c>
      <c r="G442" s="2">
        <v>0</v>
      </c>
      <c r="H442" s="2">
        <v>0</v>
      </c>
      <c r="I442" s="2">
        <v>0</v>
      </c>
      <c r="J442" s="2">
        <v>0</v>
      </c>
      <c r="K442" s="2">
        <v>0</v>
      </c>
      <c r="L442" s="2">
        <v>0</v>
      </c>
      <c r="M442" s="2" t="s">
        <v>455</v>
      </c>
    </row>
    <row r="443" spans="1:13" ht="39.950000000000003" customHeight="1">
      <c r="A443" s="9">
        <v>326</v>
      </c>
      <c r="B443" s="1" t="s">
        <v>30</v>
      </c>
      <c r="C443" s="1" t="s">
        <v>52</v>
      </c>
      <c r="D443" s="9">
        <v>22</v>
      </c>
      <c r="E443" s="2">
        <v>13.64</v>
      </c>
      <c r="F443" s="2">
        <v>0</v>
      </c>
      <c r="G443" s="2">
        <v>0</v>
      </c>
      <c r="H443" s="2">
        <v>0</v>
      </c>
      <c r="I443" s="2">
        <v>0</v>
      </c>
      <c r="J443" s="2">
        <v>0</v>
      </c>
      <c r="K443" s="2">
        <v>0</v>
      </c>
      <c r="L443" s="2">
        <v>0</v>
      </c>
      <c r="M443" s="2" t="s">
        <v>455</v>
      </c>
    </row>
    <row r="444" spans="1:13" ht="39.950000000000003" customHeight="1">
      <c r="A444" s="9">
        <v>327</v>
      </c>
      <c r="B444" s="1" t="s">
        <v>30</v>
      </c>
      <c r="C444" s="1" t="s">
        <v>14</v>
      </c>
      <c r="D444" s="9">
        <v>601</v>
      </c>
      <c r="E444" s="2">
        <v>0.68</v>
      </c>
      <c r="F444" s="2">
        <v>0</v>
      </c>
      <c r="G444" s="2">
        <v>0</v>
      </c>
      <c r="H444" s="2">
        <v>0.17</v>
      </c>
      <c r="I444" s="2">
        <v>0</v>
      </c>
      <c r="J444" s="2">
        <v>8.6999999999999993</v>
      </c>
      <c r="K444" s="2">
        <v>0.17</v>
      </c>
      <c r="L444" s="2">
        <v>0</v>
      </c>
      <c r="M444" s="2" t="s">
        <v>456</v>
      </c>
    </row>
    <row r="445" spans="1:13" ht="39.950000000000003" customHeight="1">
      <c r="A445" s="9">
        <v>328</v>
      </c>
      <c r="B445" s="2" t="s">
        <v>123</v>
      </c>
      <c r="C445" s="2" t="s">
        <v>52</v>
      </c>
      <c r="D445" s="10">
        <v>396</v>
      </c>
      <c r="E445" s="2"/>
      <c r="F445" s="2">
        <v>4.4999999999999998E-2</v>
      </c>
      <c r="G445" s="2"/>
      <c r="H445" s="2">
        <v>0.18</v>
      </c>
      <c r="I445" s="2">
        <v>0</v>
      </c>
      <c r="J445" s="2"/>
      <c r="K445" s="2"/>
      <c r="L445" s="2">
        <v>0.18</v>
      </c>
      <c r="M445" s="2" t="s">
        <v>457</v>
      </c>
    </row>
    <row r="446" spans="1:13" ht="39.950000000000003" customHeight="1">
      <c r="A446" s="9">
        <v>329</v>
      </c>
      <c r="B446" s="2" t="s">
        <v>123</v>
      </c>
      <c r="C446" s="2" t="s">
        <v>52</v>
      </c>
      <c r="D446" s="10">
        <v>126</v>
      </c>
      <c r="E446" s="2">
        <v>0</v>
      </c>
      <c r="F446" s="2">
        <v>0</v>
      </c>
      <c r="G446" s="2">
        <v>0</v>
      </c>
      <c r="H446" s="2"/>
      <c r="I446" s="2">
        <v>0</v>
      </c>
      <c r="J446" s="2">
        <f>23/126*100</f>
        <v>18.253968253968253</v>
      </c>
      <c r="K446" s="2">
        <v>0</v>
      </c>
      <c r="L446" s="2">
        <f>20/126*100</f>
        <v>15.873015873015872</v>
      </c>
      <c r="M446" s="2" t="s">
        <v>458</v>
      </c>
    </row>
    <row r="447" spans="1:13" ht="39.950000000000003" customHeight="1">
      <c r="A447" s="9">
        <v>330</v>
      </c>
      <c r="B447" s="2" t="s">
        <v>123</v>
      </c>
      <c r="C447" s="2" t="s">
        <v>25</v>
      </c>
      <c r="D447" s="10">
        <v>12</v>
      </c>
      <c r="E447" s="2"/>
      <c r="F447" s="2">
        <v>0</v>
      </c>
      <c r="G447" s="2"/>
      <c r="H447" s="2">
        <v>0</v>
      </c>
      <c r="I447" s="2">
        <v>0</v>
      </c>
      <c r="J447" s="2"/>
      <c r="K447" s="2">
        <v>0</v>
      </c>
      <c r="L447" s="2">
        <v>0</v>
      </c>
      <c r="M447" s="2" t="s">
        <v>459</v>
      </c>
    </row>
    <row r="448" spans="1:13" ht="39.950000000000003" customHeight="1">
      <c r="A448" s="9">
        <v>331</v>
      </c>
      <c r="B448" s="2" t="s">
        <v>20</v>
      </c>
      <c r="C448" s="2" t="s">
        <v>14</v>
      </c>
      <c r="D448" s="10">
        <v>652</v>
      </c>
      <c r="E448" s="2">
        <v>0</v>
      </c>
      <c r="F448" s="2">
        <v>0</v>
      </c>
      <c r="G448" s="2">
        <v>0</v>
      </c>
      <c r="H448" s="2">
        <f>2/652*100</f>
        <v>0.30674846625766872</v>
      </c>
      <c r="I448" s="2">
        <v>0</v>
      </c>
      <c r="J448" s="2">
        <f>3/652*100</f>
        <v>0.46012269938650308</v>
      </c>
      <c r="K448" s="2">
        <v>0</v>
      </c>
      <c r="L448" s="2">
        <v>0</v>
      </c>
      <c r="M448" s="2" t="s">
        <v>460</v>
      </c>
    </row>
    <row r="449" spans="1:13" ht="39.950000000000003" customHeight="1">
      <c r="A449" s="9">
        <v>332</v>
      </c>
      <c r="B449" s="2" t="s">
        <v>20</v>
      </c>
      <c r="C449" s="2" t="s">
        <v>14</v>
      </c>
      <c r="D449" s="10">
        <v>1</v>
      </c>
      <c r="E449" s="2"/>
      <c r="F449" s="2">
        <v>0</v>
      </c>
      <c r="G449" s="2">
        <v>20</v>
      </c>
      <c r="H449" s="2"/>
      <c r="I449" s="2"/>
      <c r="J449" s="2"/>
      <c r="K449" s="2"/>
      <c r="L449" s="2"/>
      <c r="M449" s="2" t="s">
        <v>461</v>
      </c>
    </row>
    <row r="450" spans="1:13" ht="39.950000000000003" customHeight="1">
      <c r="A450" s="9">
        <v>333</v>
      </c>
      <c r="B450" s="2" t="s">
        <v>20</v>
      </c>
      <c r="C450" s="2" t="s">
        <v>14</v>
      </c>
      <c r="D450" s="10">
        <v>113</v>
      </c>
      <c r="E450" s="2">
        <v>7.5</v>
      </c>
      <c r="F450" s="2">
        <v>12.8</v>
      </c>
      <c r="G450" s="2">
        <v>3</v>
      </c>
      <c r="H450" s="2">
        <v>3</v>
      </c>
      <c r="I450" s="2">
        <v>0.8</v>
      </c>
      <c r="J450" s="2"/>
      <c r="K450" s="2">
        <v>0</v>
      </c>
      <c r="L450" s="2">
        <v>42.1</v>
      </c>
      <c r="M450" s="2" t="s">
        <v>462</v>
      </c>
    </row>
    <row r="451" spans="1:13" ht="39.950000000000003" customHeight="1">
      <c r="A451" s="9">
        <v>334</v>
      </c>
      <c r="B451" s="2" t="s">
        <v>48</v>
      </c>
      <c r="C451" s="2" t="s">
        <v>14</v>
      </c>
      <c r="D451" s="10">
        <v>118</v>
      </c>
      <c r="E451" s="2">
        <f>100-81.4</f>
        <v>18.599999999999994</v>
      </c>
      <c r="F451" s="2">
        <v>0</v>
      </c>
      <c r="G451" s="2">
        <v>0</v>
      </c>
      <c r="H451" s="2">
        <v>0</v>
      </c>
      <c r="I451" s="2">
        <f>0.8</f>
        <v>0.8</v>
      </c>
      <c r="J451" s="2">
        <f>100-73.7</f>
        <v>26.299999999999997</v>
      </c>
      <c r="K451" s="2">
        <v>0</v>
      </c>
      <c r="L451" s="2">
        <f>100-92.4</f>
        <v>7.5999999999999943</v>
      </c>
      <c r="M451" s="2" t="s">
        <v>463</v>
      </c>
    </row>
    <row r="452" spans="1:13" ht="39.950000000000003" customHeight="1">
      <c r="A452" s="9">
        <v>335</v>
      </c>
      <c r="B452" s="2" t="s">
        <v>20</v>
      </c>
      <c r="C452" s="2" t="s">
        <v>14</v>
      </c>
      <c r="D452" s="10">
        <v>30</v>
      </c>
      <c r="E452" s="2"/>
      <c r="F452" s="2">
        <v>0</v>
      </c>
      <c r="G452" s="2"/>
      <c r="H452" s="2">
        <v>0</v>
      </c>
      <c r="I452" s="2">
        <v>0</v>
      </c>
      <c r="J452" s="2"/>
      <c r="K452" s="2">
        <v>0</v>
      </c>
      <c r="L452" s="2">
        <v>0</v>
      </c>
      <c r="M452" s="2" t="s">
        <v>464</v>
      </c>
    </row>
    <row r="453" spans="1:13" ht="39.950000000000003" customHeight="1">
      <c r="A453" s="9">
        <v>336</v>
      </c>
      <c r="B453" s="2" t="s">
        <v>465</v>
      </c>
      <c r="C453" s="2" t="s">
        <v>52</v>
      </c>
      <c r="D453" s="10">
        <v>2265</v>
      </c>
      <c r="E453" s="2"/>
      <c r="F453" s="2"/>
      <c r="G453" s="2"/>
      <c r="H453" s="2"/>
      <c r="I453" s="2"/>
      <c r="J453" s="2"/>
      <c r="K453" s="2"/>
      <c r="L453" s="2"/>
      <c r="M453" s="2" t="s">
        <v>466</v>
      </c>
    </row>
    <row r="454" spans="1:13" ht="39.950000000000003" customHeight="1">
      <c r="A454" s="9">
        <v>337</v>
      </c>
      <c r="B454" s="2" t="s">
        <v>13</v>
      </c>
      <c r="C454" s="2" t="s">
        <v>36</v>
      </c>
      <c r="D454" s="10">
        <v>9</v>
      </c>
      <c r="E454" s="2">
        <v>100</v>
      </c>
      <c r="F454" s="2">
        <v>100</v>
      </c>
      <c r="G454" s="2">
        <v>100</v>
      </c>
      <c r="H454" s="2"/>
      <c r="I454" s="2">
        <v>100</v>
      </c>
      <c r="J454" s="2"/>
      <c r="K454" s="2"/>
      <c r="L454" s="2"/>
      <c r="M454" s="2" t="s">
        <v>467</v>
      </c>
    </row>
    <row r="455" spans="1:13" ht="39.950000000000003" customHeight="1">
      <c r="A455" s="9">
        <v>338</v>
      </c>
      <c r="B455" s="2" t="s">
        <v>46</v>
      </c>
      <c r="C455" s="2" t="s">
        <v>14</v>
      </c>
      <c r="D455" s="10">
        <v>2256</v>
      </c>
      <c r="E455" s="2">
        <v>0</v>
      </c>
      <c r="F455" s="2">
        <v>0</v>
      </c>
      <c r="G455" s="2"/>
      <c r="H455" s="2">
        <v>3.59</v>
      </c>
      <c r="I455" s="2">
        <v>0</v>
      </c>
      <c r="J455" s="2"/>
      <c r="K455" s="2">
        <v>0</v>
      </c>
      <c r="L455" s="2">
        <v>0.68</v>
      </c>
      <c r="M455" s="2" t="s">
        <v>468</v>
      </c>
    </row>
    <row r="456" spans="1:13" ht="39.950000000000003" customHeight="1">
      <c r="A456" s="9">
        <v>339</v>
      </c>
      <c r="B456" s="1" t="s">
        <v>46</v>
      </c>
      <c r="C456" s="1" t="s">
        <v>70</v>
      </c>
      <c r="D456" s="9">
        <v>5</v>
      </c>
      <c r="E456" s="1"/>
      <c r="F456" s="1"/>
      <c r="G456" s="1"/>
      <c r="H456" s="1">
        <v>0</v>
      </c>
      <c r="I456" s="1"/>
      <c r="J456" s="1"/>
      <c r="K456" s="1">
        <v>0</v>
      </c>
      <c r="L456" s="1"/>
      <c r="M456" s="1" t="s">
        <v>469</v>
      </c>
    </row>
    <row r="457" spans="1:13" ht="39.950000000000003" customHeight="1">
      <c r="A457" s="9">
        <v>339</v>
      </c>
      <c r="B457" s="1" t="s">
        <v>46</v>
      </c>
      <c r="C457" s="1" t="s">
        <v>70</v>
      </c>
      <c r="D457" s="9">
        <v>5</v>
      </c>
      <c r="E457" s="1"/>
      <c r="F457" s="1"/>
      <c r="G457" s="1"/>
      <c r="H457" s="1">
        <v>0</v>
      </c>
      <c r="I457" s="1"/>
      <c r="J457" s="1"/>
      <c r="K457" s="1">
        <v>0</v>
      </c>
      <c r="L457" s="1"/>
      <c r="M457" s="1" t="s">
        <v>470</v>
      </c>
    </row>
    <row r="458" spans="1:13" ht="39.950000000000003" customHeight="1">
      <c r="A458" s="9">
        <v>339</v>
      </c>
      <c r="B458" s="1" t="s">
        <v>46</v>
      </c>
      <c r="C458" s="1" t="s">
        <v>70</v>
      </c>
      <c r="D458" s="9">
        <v>5</v>
      </c>
      <c r="E458" s="1"/>
      <c r="F458" s="1"/>
      <c r="G458" s="1"/>
      <c r="H458" s="1">
        <v>0</v>
      </c>
      <c r="I458" s="1"/>
      <c r="J458" s="1"/>
      <c r="K458" s="1">
        <v>0</v>
      </c>
      <c r="L458" s="1"/>
      <c r="M458" s="1" t="s">
        <v>471</v>
      </c>
    </row>
    <row r="459" spans="1:13" ht="39.950000000000003" customHeight="1">
      <c r="A459" s="9">
        <v>339</v>
      </c>
      <c r="B459" s="1" t="s">
        <v>46</v>
      </c>
      <c r="C459" s="1" t="s">
        <v>70</v>
      </c>
      <c r="D459" s="9">
        <v>5</v>
      </c>
      <c r="E459" s="1"/>
      <c r="F459" s="1"/>
      <c r="G459" s="1"/>
      <c r="H459" s="1">
        <v>0</v>
      </c>
      <c r="I459" s="1"/>
      <c r="J459" s="1"/>
      <c r="K459" s="1">
        <v>0</v>
      </c>
      <c r="L459" s="1"/>
      <c r="M459" s="1" t="s">
        <v>472</v>
      </c>
    </row>
    <row r="460" spans="1:13" ht="39.950000000000003" customHeight="1">
      <c r="A460" s="9">
        <v>339</v>
      </c>
      <c r="B460" s="1" t="s">
        <v>46</v>
      </c>
      <c r="C460" s="1" t="s">
        <v>70</v>
      </c>
      <c r="D460" s="9">
        <v>5</v>
      </c>
      <c r="E460" s="1"/>
      <c r="F460" s="1"/>
      <c r="G460" s="1"/>
      <c r="H460" s="1">
        <v>0</v>
      </c>
      <c r="I460" s="1"/>
      <c r="J460" s="1"/>
      <c r="K460" s="1">
        <v>0</v>
      </c>
      <c r="L460" s="1"/>
      <c r="M460" s="1" t="s">
        <v>473</v>
      </c>
    </row>
    <row r="461" spans="1:13" ht="39.950000000000003" customHeight="1">
      <c r="A461" s="9">
        <v>339</v>
      </c>
      <c r="B461" s="1" t="s">
        <v>46</v>
      </c>
      <c r="C461" s="1" t="s">
        <v>70</v>
      </c>
      <c r="D461" s="9">
        <v>5</v>
      </c>
      <c r="E461" s="1"/>
      <c r="F461" s="1"/>
      <c r="G461" s="1"/>
      <c r="H461" s="1">
        <v>0</v>
      </c>
      <c r="I461" s="1"/>
      <c r="J461" s="1"/>
      <c r="K461" s="1">
        <v>0</v>
      </c>
      <c r="L461" s="1"/>
      <c r="M461" s="1" t="s">
        <v>474</v>
      </c>
    </row>
    <row r="462" spans="1:13" ht="39.950000000000003" customHeight="1">
      <c r="A462" s="9">
        <v>339</v>
      </c>
      <c r="B462" s="1" t="s">
        <v>46</v>
      </c>
      <c r="C462" s="1" t="s">
        <v>70</v>
      </c>
      <c r="D462" s="9">
        <v>5</v>
      </c>
      <c r="E462" s="1"/>
      <c r="F462" s="1"/>
      <c r="G462" s="1"/>
      <c r="H462" s="1">
        <v>0</v>
      </c>
      <c r="I462" s="1"/>
      <c r="J462" s="1"/>
      <c r="K462" s="1">
        <v>0</v>
      </c>
      <c r="L462" s="1"/>
      <c r="M462" s="1" t="s">
        <v>475</v>
      </c>
    </row>
    <row r="463" spans="1:13" ht="39.950000000000003" customHeight="1">
      <c r="A463" s="9">
        <v>339</v>
      </c>
      <c r="B463" s="1" t="s">
        <v>46</v>
      </c>
      <c r="C463" s="1" t="s">
        <v>70</v>
      </c>
      <c r="D463" s="9">
        <v>5</v>
      </c>
      <c r="E463" s="1"/>
      <c r="F463" s="1"/>
      <c r="G463" s="1"/>
      <c r="H463" s="1">
        <v>0</v>
      </c>
      <c r="I463" s="1"/>
      <c r="J463" s="1"/>
      <c r="K463" s="1">
        <v>0</v>
      </c>
      <c r="L463" s="1"/>
      <c r="M463" s="1" t="s">
        <v>476</v>
      </c>
    </row>
    <row r="464" spans="1:13" ht="39.950000000000003" customHeight="1">
      <c r="A464" s="9">
        <v>339</v>
      </c>
      <c r="B464" s="1" t="s">
        <v>46</v>
      </c>
      <c r="C464" s="1" t="s">
        <v>70</v>
      </c>
      <c r="D464" s="9">
        <v>5</v>
      </c>
      <c r="E464" s="1"/>
      <c r="F464" s="1"/>
      <c r="G464" s="1"/>
      <c r="H464" s="1">
        <v>0</v>
      </c>
      <c r="I464" s="1"/>
      <c r="J464" s="1"/>
      <c r="K464" s="1">
        <v>0</v>
      </c>
      <c r="L464" s="1"/>
      <c r="M464" s="1" t="s">
        <v>477</v>
      </c>
    </row>
    <row r="465" spans="1:13" ht="39.950000000000003" customHeight="1">
      <c r="A465" s="9">
        <v>339</v>
      </c>
      <c r="B465" s="1" t="s">
        <v>46</v>
      </c>
      <c r="C465" s="1" t="s">
        <v>70</v>
      </c>
      <c r="D465" s="9">
        <v>5</v>
      </c>
      <c r="E465" s="1"/>
      <c r="F465" s="1"/>
      <c r="G465" s="1"/>
      <c r="H465" s="1">
        <v>0</v>
      </c>
      <c r="I465" s="1"/>
      <c r="J465" s="1"/>
      <c r="K465" s="1">
        <v>0</v>
      </c>
      <c r="L465" s="1"/>
      <c r="M465" s="1" t="s">
        <v>478</v>
      </c>
    </row>
    <row r="466" spans="1:13" ht="39.950000000000003" customHeight="1">
      <c r="A466" s="9">
        <v>340</v>
      </c>
      <c r="B466" s="2" t="s">
        <v>46</v>
      </c>
      <c r="C466" s="2" t="s">
        <v>70</v>
      </c>
      <c r="D466" s="10">
        <v>10</v>
      </c>
      <c r="E466" s="2"/>
      <c r="F466" s="2">
        <v>0</v>
      </c>
      <c r="G466" s="2">
        <v>0</v>
      </c>
      <c r="H466" s="2">
        <v>20</v>
      </c>
      <c r="I466" s="2"/>
      <c r="J466" s="2"/>
      <c r="K466" s="2"/>
      <c r="L466" s="2">
        <v>40</v>
      </c>
      <c r="M466" s="2" t="s">
        <v>479</v>
      </c>
    </row>
    <row r="467" spans="1:13" ht="39.950000000000003" customHeight="1">
      <c r="A467" s="9">
        <v>340</v>
      </c>
      <c r="B467" s="2" t="s">
        <v>46</v>
      </c>
      <c r="C467" s="2" t="s">
        <v>70</v>
      </c>
      <c r="D467" s="10">
        <v>23</v>
      </c>
      <c r="E467" s="2"/>
      <c r="F467" s="2">
        <v>0</v>
      </c>
      <c r="G467" s="2">
        <v>0</v>
      </c>
      <c r="H467" s="2">
        <v>82</v>
      </c>
      <c r="I467" s="2"/>
      <c r="J467" s="2"/>
      <c r="K467" s="2"/>
      <c r="L467" s="2">
        <v>35</v>
      </c>
      <c r="M467" s="2" t="s">
        <v>479</v>
      </c>
    </row>
    <row r="468" spans="1:13" ht="39.950000000000003" customHeight="1">
      <c r="A468" s="9">
        <v>340</v>
      </c>
      <c r="B468" s="2" t="s">
        <v>46</v>
      </c>
      <c r="C468" s="2" t="s">
        <v>70</v>
      </c>
      <c r="D468" s="10">
        <v>17</v>
      </c>
      <c r="E468" s="2"/>
      <c r="F468" s="2">
        <v>0</v>
      </c>
      <c r="G468" s="2">
        <v>0</v>
      </c>
      <c r="H468" s="2">
        <v>94</v>
      </c>
      <c r="I468" s="2"/>
      <c r="J468" s="2"/>
      <c r="K468" s="2"/>
      <c r="L468" s="2">
        <v>76</v>
      </c>
      <c r="M468" s="2" t="s">
        <v>479</v>
      </c>
    </row>
    <row r="469" spans="1:13" ht="39.950000000000003" customHeight="1">
      <c r="A469" s="9">
        <v>341</v>
      </c>
      <c r="B469" s="2" t="s">
        <v>107</v>
      </c>
      <c r="C469" s="2" t="s">
        <v>14</v>
      </c>
      <c r="D469" s="10">
        <v>40</v>
      </c>
      <c r="E469" s="2">
        <v>0</v>
      </c>
      <c r="F469" s="2">
        <v>0</v>
      </c>
      <c r="G469" s="2">
        <v>0</v>
      </c>
      <c r="H469" s="2">
        <f>3/40*100</f>
        <v>7.5</v>
      </c>
      <c r="I469" s="2">
        <v>0</v>
      </c>
      <c r="J469" s="2">
        <f>1/40*100</f>
        <v>2.5</v>
      </c>
      <c r="K469" s="2">
        <v>0</v>
      </c>
      <c r="L469" s="2">
        <v>0</v>
      </c>
      <c r="M469" s="2" t="s">
        <v>480</v>
      </c>
    </row>
    <row r="470" spans="1:13" ht="39.950000000000003" customHeight="1">
      <c r="A470" s="9">
        <v>342</v>
      </c>
      <c r="B470" s="2" t="s">
        <v>58</v>
      </c>
      <c r="C470" s="2" t="s">
        <v>70</v>
      </c>
      <c r="D470" s="10">
        <v>130</v>
      </c>
      <c r="E470" s="2">
        <v>0</v>
      </c>
      <c r="F470" s="2">
        <v>0</v>
      </c>
      <c r="G470" s="2">
        <v>0</v>
      </c>
      <c r="H470" s="2">
        <v>16.920000000000002</v>
      </c>
      <c r="I470" s="2">
        <v>9.23</v>
      </c>
      <c r="J470" s="2"/>
      <c r="K470" s="2">
        <v>0</v>
      </c>
      <c r="L470" s="2">
        <v>0</v>
      </c>
      <c r="M470" s="2" t="s">
        <v>481</v>
      </c>
    </row>
    <row r="471" spans="1:13" ht="39.950000000000003" customHeight="1">
      <c r="A471" s="9">
        <v>343</v>
      </c>
      <c r="B471" s="2" t="s">
        <v>73</v>
      </c>
      <c r="C471" s="2" t="s">
        <v>14</v>
      </c>
      <c r="D471" s="10">
        <v>20</v>
      </c>
      <c r="E471" s="2"/>
      <c r="F471" s="2">
        <v>0</v>
      </c>
      <c r="G471" s="2"/>
      <c r="H471" s="2">
        <v>0</v>
      </c>
      <c r="I471" s="2"/>
      <c r="J471" s="2"/>
      <c r="K471" s="2"/>
      <c r="L471" s="2"/>
      <c r="M471" s="2" t="s">
        <v>482</v>
      </c>
    </row>
    <row r="472" spans="1:13" ht="39.950000000000003" customHeight="1">
      <c r="A472" s="9">
        <v>343</v>
      </c>
      <c r="B472" s="2" t="s">
        <v>73</v>
      </c>
      <c r="C472" s="2" t="s">
        <v>14</v>
      </c>
      <c r="D472" s="10">
        <v>20</v>
      </c>
      <c r="E472" s="2"/>
      <c r="F472" s="2">
        <v>0</v>
      </c>
      <c r="G472" s="2"/>
      <c r="H472" s="2">
        <v>5</v>
      </c>
      <c r="I472" s="2"/>
      <c r="J472" s="2"/>
      <c r="K472" s="2"/>
      <c r="L472" s="2"/>
      <c r="M472" s="2" t="s">
        <v>482</v>
      </c>
    </row>
    <row r="473" spans="1:13" ht="39.950000000000003" customHeight="1">
      <c r="A473" s="9">
        <v>343</v>
      </c>
      <c r="B473" s="2" t="s">
        <v>73</v>
      </c>
      <c r="C473" s="2" t="s">
        <v>14</v>
      </c>
      <c r="D473" s="10">
        <v>20</v>
      </c>
      <c r="E473" s="2"/>
      <c r="F473" s="2">
        <v>0</v>
      </c>
      <c r="G473" s="2"/>
      <c r="H473" s="2">
        <v>5</v>
      </c>
      <c r="I473" s="2"/>
      <c r="J473" s="2"/>
      <c r="K473" s="2"/>
      <c r="L473" s="2"/>
      <c r="M473" s="2" t="s">
        <v>482</v>
      </c>
    </row>
    <row r="474" spans="1:13" ht="39.950000000000003" customHeight="1">
      <c r="A474" s="9">
        <v>343</v>
      </c>
      <c r="B474" s="2" t="s">
        <v>73</v>
      </c>
      <c r="C474" s="2" t="s">
        <v>14</v>
      </c>
      <c r="D474" s="10">
        <v>20</v>
      </c>
      <c r="E474" s="2"/>
      <c r="F474" s="2">
        <v>0</v>
      </c>
      <c r="G474" s="2"/>
      <c r="H474" s="2">
        <v>20</v>
      </c>
      <c r="I474" s="2"/>
      <c r="J474" s="2"/>
      <c r="K474" s="2"/>
      <c r="L474" s="2"/>
      <c r="M474" s="2" t="s">
        <v>482</v>
      </c>
    </row>
    <row r="475" spans="1:13" ht="39.950000000000003" customHeight="1">
      <c r="A475" s="9">
        <v>344</v>
      </c>
      <c r="B475" s="2" t="s">
        <v>73</v>
      </c>
      <c r="C475" s="2" t="s">
        <v>14</v>
      </c>
      <c r="D475" s="10">
        <v>51</v>
      </c>
      <c r="E475" s="2">
        <v>0</v>
      </c>
      <c r="F475" s="2">
        <v>0</v>
      </c>
      <c r="G475" s="2">
        <v>0</v>
      </c>
      <c r="H475" s="2">
        <f>1/41*100</f>
        <v>2.4390243902439024</v>
      </c>
      <c r="I475" s="2">
        <v>0</v>
      </c>
      <c r="J475" s="2"/>
      <c r="K475" s="2">
        <v>0</v>
      </c>
      <c r="L475" s="2">
        <v>0</v>
      </c>
      <c r="M475" s="2" t="s">
        <v>483</v>
      </c>
    </row>
    <row r="476" spans="1:13" ht="39.950000000000003" customHeight="1">
      <c r="A476" s="9">
        <v>344</v>
      </c>
      <c r="B476" s="2" t="s">
        <v>73</v>
      </c>
      <c r="C476" s="2" t="s">
        <v>14</v>
      </c>
      <c r="D476" s="10">
        <v>51</v>
      </c>
      <c r="E476" s="2">
        <v>0</v>
      </c>
      <c r="F476" s="2">
        <v>0</v>
      </c>
      <c r="G476" s="2">
        <v>0</v>
      </c>
      <c r="H476" s="2">
        <f>1/41*100</f>
        <v>2.4390243902439024</v>
      </c>
      <c r="I476" s="2">
        <v>0</v>
      </c>
      <c r="J476" s="2"/>
      <c r="K476" s="2">
        <v>0</v>
      </c>
      <c r="L476" s="2">
        <v>0</v>
      </c>
      <c r="M476" s="2" t="s">
        <v>484</v>
      </c>
    </row>
    <row r="477" spans="1:13" ht="39.950000000000003" customHeight="1">
      <c r="A477" s="10">
        <v>345</v>
      </c>
      <c r="B477" s="1" t="s">
        <v>27</v>
      </c>
      <c r="C477" s="1" t="s">
        <v>485</v>
      </c>
      <c r="D477" s="9">
        <v>27</v>
      </c>
      <c r="E477" s="1"/>
      <c r="F477" s="1"/>
      <c r="G477" s="1"/>
      <c r="H477" s="1"/>
      <c r="I477" s="1">
        <v>53.9</v>
      </c>
      <c r="J477" s="1"/>
      <c r="K477" s="1"/>
      <c r="L477" s="1"/>
      <c r="M477" s="1" t="s">
        <v>486</v>
      </c>
    </row>
    <row r="478" spans="1:13" ht="39.950000000000003" customHeight="1">
      <c r="A478" s="9">
        <v>346</v>
      </c>
      <c r="B478" s="2" t="s">
        <v>13</v>
      </c>
      <c r="C478" s="2" t="s">
        <v>487</v>
      </c>
      <c r="D478" s="10">
        <v>10</v>
      </c>
      <c r="E478" s="2"/>
      <c r="F478" s="2">
        <v>0</v>
      </c>
      <c r="G478" s="2"/>
      <c r="H478" s="2">
        <v>60</v>
      </c>
      <c r="I478" s="2">
        <v>0</v>
      </c>
      <c r="J478" s="2"/>
      <c r="K478" s="2">
        <v>0</v>
      </c>
      <c r="L478" s="2">
        <v>0</v>
      </c>
      <c r="M478" s="2" t="s">
        <v>488</v>
      </c>
    </row>
    <row r="479" spans="1:13" ht="39.950000000000003" customHeight="1">
      <c r="A479" s="10">
        <v>347</v>
      </c>
      <c r="B479" s="8" t="s">
        <v>16</v>
      </c>
      <c r="C479" s="8"/>
      <c r="D479" s="14">
        <v>50</v>
      </c>
      <c r="E479" s="8">
        <v>0</v>
      </c>
      <c r="F479" s="8">
        <v>0</v>
      </c>
      <c r="G479" s="8"/>
      <c r="H479" s="8">
        <v>0</v>
      </c>
      <c r="I479" s="8">
        <v>0</v>
      </c>
      <c r="J479" s="8"/>
      <c r="K479" s="8"/>
      <c r="L479" s="8">
        <v>0</v>
      </c>
      <c r="M479" s="8"/>
    </row>
    <row r="480" spans="1:13" ht="39.950000000000003" customHeight="1">
      <c r="A480" s="9">
        <v>348</v>
      </c>
      <c r="B480" s="2" t="s">
        <v>16</v>
      </c>
      <c r="C480" s="2" t="s">
        <v>14</v>
      </c>
      <c r="D480" s="10"/>
      <c r="E480" s="2">
        <v>0</v>
      </c>
      <c r="F480" s="2">
        <v>0</v>
      </c>
      <c r="G480" s="2">
        <v>0</v>
      </c>
      <c r="H480" s="2">
        <v>25</v>
      </c>
      <c r="I480" s="2">
        <v>0</v>
      </c>
      <c r="J480" s="2">
        <v>0</v>
      </c>
      <c r="K480" s="2">
        <v>0</v>
      </c>
      <c r="L480" s="2">
        <v>0</v>
      </c>
      <c r="M480" s="1" t="s">
        <v>489</v>
      </c>
    </row>
    <row r="481" spans="1:13" ht="39.950000000000003" customHeight="1">
      <c r="A481" s="10">
        <v>349</v>
      </c>
      <c r="B481" s="2" t="s">
        <v>16</v>
      </c>
      <c r="C481" s="2" t="s">
        <v>14</v>
      </c>
      <c r="D481" s="10">
        <v>18</v>
      </c>
      <c r="E481" s="2">
        <v>0</v>
      </c>
      <c r="F481" s="2">
        <v>0</v>
      </c>
      <c r="G481" s="2"/>
      <c r="H481" s="2">
        <f>12/18*100</f>
        <v>66.666666666666657</v>
      </c>
      <c r="I481" s="2">
        <v>0</v>
      </c>
      <c r="J481" s="2"/>
      <c r="K481" s="2">
        <v>0</v>
      </c>
      <c r="L481" s="2">
        <f>1/18*100</f>
        <v>5.5555555555555554</v>
      </c>
      <c r="M481" s="2" t="s">
        <v>490</v>
      </c>
    </row>
    <row r="482" spans="1:13" ht="39.950000000000003" customHeight="1">
      <c r="A482" s="9">
        <v>350</v>
      </c>
      <c r="B482" s="1" t="s">
        <v>84</v>
      </c>
      <c r="C482" s="1"/>
      <c r="D482" s="9">
        <v>25</v>
      </c>
      <c r="E482" s="1"/>
      <c r="F482" s="1">
        <v>0</v>
      </c>
      <c r="G482" s="1"/>
      <c r="H482" s="1">
        <v>0</v>
      </c>
      <c r="I482" s="1">
        <v>0</v>
      </c>
      <c r="J482" s="1"/>
      <c r="K482" s="1">
        <v>0</v>
      </c>
      <c r="L482" s="1">
        <v>0</v>
      </c>
      <c r="M482" s="1" t="s">
        <v>491</v>
      </c>
    </row>
    <row r="483" spans="1:13" ht="39.950000000000003" customHeight="1">
      <c r="A483" s="10">
        <v>351</v>
      </c>
      <c r="B483" s="2" t="s">
        <v>18</v>
      </c>
      <c r="C483" s="2" t="s">
        <v>14</v>
      </c>
      <c r="D483" s="10">
        <v>10</v>
      </c>
      <c r="E483" s="2">
        <v>0</v>
      </c>
      <c r="F483" s="2">
        <v>0</v>
      </c>
      <c r="G483" s="2">
        <v>0</v>
      </c>
      <c r="H483" s="2">
        <v>0</v>
      </c>
      <c r="I483" s="2">
        <v>0</v>
      </c>
      <c r="J483" s="2">
        <v>0</v>
      </c>
      <c r="K483" s="2">
        <v>0</v>
      </c>
      <c r="L483" s="2">
        <v>0</v>
      </c>
      <c r="M483" s="2" t="s">
        <v>492</v>
      </c>
    </row>
    <row r="484" spans="1:13" ht="39.950000000000003" customHeight="1">
      <c r="A484" s="10">
        <v>351</v>
      </c>
      <c r="B484" s="2" t="s">
        <v>18</v>
      </c>
      <c r="C484" s="2" t="s">
        <v>14</v>
      </c>
      <c r="D484" s="10">
        <v>9</v>
      </c>
      <c r="E484" s="2">
        <v>0</v>
      </c>
      <c r="F484" s="2">
        <v>0</v>
      </c>
      <c r="G484" s="2">
        <v>0</v>
      </c>
      <c r="H484" s="2">
        <v>0</v>
      </c>
      <c r="I484" s="2">
        <v>0</v>
      </c>
      <c r="J484" s="2">
        <v>0</v>
      </c>
      <c r="K484" s="2">
        <v>0</v>
      </c>
      <c r="L484" s="2">
        <v>0</v>
      </c>
      <c r="M484" s="2" t="s">
        <v>493</v>
      </c>
    </row>
    <row r="485" spans="1:13" ht="39.950000000000003" customHeight="1">
      <c r="A485" s="10">
        <v>351</v>
      </c>
      <c r="B485" s="2" t="s">
        <v>18</v>
      </c>
      <c r="C485" s="2" t="s">
        <v>14</v>
      </c>
      <c r="D485" s="10">
        <v>10</v>
      </c>
      <c r="E485" s="2">
        <v>0</v>
      </c>
      <c r="F485" s="2">
        <v>0</v>
      </c>
      <c r="G485" s="2">
        <v>0</v>
      </c>
      <c r="H485" s="2">
        <v>0</v>
      </c>
      <c r="I485" s="2">
        <v>0</v>
      </c>
      <c r="J485" s="2">
        <v>0</v>
      </c>
      <c r="K485" s="2">
        <v>0</v>
      </c>
      <c r="L485" s="2">
        <v>0</v>
      </c>
      <c r="M485" s="2" t="s">
        <v>494</v>
      </c>
    </row>
    <row r="486" spans="1:13" ht="39.950000000000003" customHeight="1">
      <c r="A486" s="10">
        <v>351</v>
      </c>
      <c r="B486" s="2" t="s">
        <v>18</v>
      </c>
      <c r="C486" s="2" t="s">
        <v>14</v>
      </c>
      <c r="D486" s="10">
        <v>20</v>
      </c>
      <c r="E486" s="2">
        <v>0</v>
      </c>
      <c r="F486" s="2">
        <v>0</v>
      </c>
      <c r="G486" s="2">
        <v>0</v>
      </c>
      <c r="H486" s="2">
        <v>0</v>
      </c>
      <c r="I486" s="2">
        <v>0</v>
      </c>
      <c r="J486" s="2">
        <v>0</v>
      </c>
      <c r="K486" s="2">
        <v>0</v>
      </c>
      <c r="L486" s="2">
        <v>0</v>
      </c>
      <c r="M486" s="2" t="s">
        <v>495</v>
      </c>
    </row>
    <row r="487" spans="1:13" ht="39.950000000000003" customHeight="1">
      <c r="A487" s="10">
        <v>351</v>
      </c>
      <c r="B487" s="2" t="s">
        <v>18</v>
      </c>
      <c r="C487" s="2" t="s">
        <v>14</v>
      </c>
      <c r="D487" s="10">
        <v>10</v>
      </c>
      <c r="E487" s="2">
        <v>0</v>
      </c>
      <c r="F487" s="2">
        <v>0</v>
      </c>
      <c r="G487" s="2">
        <v>0</v>
      </c>
      <c r="H487" s="2">
        <v>0</v>
      </c>
      <c r="I487" s="2">
        <v>0</v>
      </c>
      <c r="J487" s="2">
        <v>0</v>
      </c>
      <c r="K487" s="2">
        <v>0</v>
      </c>
      <c r="L487" s="2">
        <v>0</v>
      </c>
      <c r="M487" s="2" t="s">
        <v>495</v>
      </c>
    </row>
    <row r="488" spans="1:13" ht="39.950000000000003" customHeight="1">
      <c r="A488" s="10" t="s">
        <v>496</v>
      </c>
      <c r="B488" s="2" t="s">
        <v>18</v>
      </c>
      <c r="C488" s="2" t="s">
        <v>14</v>
      </c>
      <c r="D488" s="10">
        <v>51</v>
      </c>
      <c r="E488" s="2">
        <v>0</v>
      </c>
      <c r="F488" s="2">
        <v>0</v>
      </c>
      <c r="G488" s="2">
        <v>0</v>
      </c>
      <c r="H488" s="2">
        <v>0</v>
      </c>
      <c r="I488" s="2">
        <v>0</v>
      </c>
      <c r="J488" s="2">
        <v>0</v>
      </c>
      <c r="K488" s="2">
        <v>0</v>
      </c>
      <c r="L488" s="2">
        <v>0</v>
      </c>
      <c r="M488" s="2" t="s">
        <v>495</v>
      </c>
    </row>
    <row r="489" spans="1:13" ht="39.950000000000003" customHeight="1">
      <c r="A489" s="10">
        <v>353</v>
      </c>
      <c r="B489" s="1" t="s">
        <v>18</v>
      </c>
      <c r="C489" s="1" t="s">
        <v>70</v>
      </c>
      <c r="D489" s="9">
        <v>5</v>
      </c>
      <c r="E489" s="1"/>
      <c r="F489" s="1"/>
      <c r="G489" s="1"/>
      <c r="H489" s="1"/>
      <c r="I489" s="1">
        <v>0</v>
      </c>
      <c r="J489" s="1"/>
      <c r="K489" s="1"/>
      <c r="L489" s="1"/>
      <c r="M489" s="1" t="s">
        <v>497</v>
      </c>
    </row>
    <row r="490" spans="1:13" ht="39.950000000000003" customHeight="1">
      <c r="A490" s="10">
        <v>353</v>
      </c>
      <c r="B490" s="1" t="s">
        <v>18</v>
      </c>
      <c r="C490" s="1" t="s">
        <v>70</v>
      </c>
      <c r="D490" s="9">
        <v>20</v>
      </c>
      <c r="E490" s="1"/>
      <c r="F490" s="1"/>
      <c r="G490" s="1"/>
      <c r="H490" s="1"/>
      <c r="I490" s="1">
        <v>0</v>
      </c>
      <c r="J490" s="1"/>
      <c r="K490" s="1"/>
      <c r="L490" s="1"/>
      <c r="M490" s="1" t="s">
        <v>498</v>
      </c>
    </row>
    <row r="491" spans="1:13" ht="39.950000000000003" customHeight="1">
      <c r="A491" s="10">
        <v>353</v>
      </c>
      <c r="B491" s="1" t="s">
        <v>18</v>
      </c>
      <c r="C491" s="1" t="s">
        <v>70</v>
      </c>
      <c r="D491" s="9">
        <v>15</v>
      </c>
      <c r="E491" s="1"/>
      <c r="F491" s="1"/>
      <c r="G491" s="1"/>
      <c r="H491" s="1"/>
      <c r="I491" s="1">
        <v>0</v>
      </c>
      <c r="J491" s="1"/>
      <c r="K491" s="1"/>
      <c r="L491" s="1"/>
      <c r="M491" s="1" t="s">
        <v>499</v>
      </c>
    </row>
    <row r="492" spans="1:13" ht="39.950000000000003" customHeight="1">
      <c r="A492" s="10">
        <v>353</v>
      </c>
      <c r="B492" s="1" t="s">
        <v>18</v>
      </c>
      <c r="C492" s="1" t="s">
        <v>70</v>
      </c>
      <c r="D492" s="9">
        <v>15</v>
      </c>
      <c r="E492" s="1"/>
      <c r="F492" s="1"/>
      <c r="G492" s="1"/>
      <c r="H492" s="1"/>
      <c r="I492" s="1">
        <v>0</v>
      </c>
      <c r="J492" s="1"/>
      <c r="K492" s="1"/>
      <c r="L492" s="1"/>
      <c r="M492" s="1" t="s">
        <v>500</v>
      </c>
    </row>
    <row r="493" spans="1:13" ht="39.950000000000003" customHeight="1">
      <c r="A493" s="10">
        <v>354</v>
      </c>
      <c r="B493" s="2" t="s">
        <v>13</v>
      </c>
      <c r="C493" s="2" t="s">
        <v>14</v>
      </c>
      <c r="D493" s="10">
        <v>45</v>
      </c>
      <c r="E493" s="2">
        <f>4/45*100</f>
        <v>8.8888888888888893</v>
      </c>
      <c r="F493" s="2">
        <f>1/45*100</f>
        <v>2.2222222222222223</v>
      </c>
      <c r="G493" s="2"/>
      <c r="H493" s="2">
        <f>39/45*100</f>
        <v>86.666666666666671</v>
      </c>
      <c r="I493" s="2"/>
      <c r="J493" s="2"/>
      <c r="K493" s="2">
        <v>0</v>
      </c>
      <c r="L493" s="2"/>
      <c r="M493" s="2" t="s">
        <v>501</v>
      </c>
    </row>
    <row r="494" spans="1:13" ht="39.950000000000003" customHeight="1">
      <c r="A494" s="10">
        <v>355</v>
      </c>
      <c r="B494" s="2" t="s">
        <v>123</v>
      </c>
      <c r="C494" s="2" t="s">
        <v>25</v>
      </c>
      <c r="D494" s="10">
        <v>20</v>
      </c>
      <c r="E494" s="2"/>
      <c r="F494" s="2">
        <v>0</v>
      </c>
      <c r="G494" s="2"/>
      <c r="H494" s="2">
        <v>0</v>
      </c>
      <c r="I494" s="2">
        <f>1/5*100</f>
        <v>20</v>
      </c>
      <c r="J494" s="2"/>
      <c r="K494" s="2">
        <v>0</v>
      </c>
      <c r="L494" s="2">
        <v>0</v>
      </c>
      <c r="M494" s="2" t="s">
        <v>502</v>
      </c>
    </row>
    <row r="495" spans="1:13" ht="39.950000000000003" customHeight="1">
      <c r="A495" s="10">
        <v>356</v>
      </c>
      <c r="B495" s="2" t="s">
        <v>20</v>
      </c>
      <c r="C495" s="2" t="s">
        <v>25</v>
      </c>
      <c r="D495" s="10">
        <v>85</v>
      </c>
      <c r="E495" s="2">
        <v>0</v>
      </c>
      <c r="F495" s="2">
        <v>0</v>
      </c>
      <c r="G495" s="2">
        <v>0</v>
      </c>
      <c r="H495" s="2">
        <v>0</v>
      </c>
      <c r="I495" s="2">
        <v>0</v>
      </c>
      <c r="J495" s="2">
        <v>0</v>
      </c>
      <c r="K495" s="2">
        <v>0</v>
      </c>
      <c r="L495" s="2">
        <v>0</v>
      </c>
      <c r="M495" s="2" t="s">
        <v>503</v>
      </c>
    </row>
    <row r="496" spans="1:13" ht="39.950000000000003" customHeight="1">
      <c r="A496" s="10">
        <v>356</v>
      </c>
      <c r="B496" s="2" t="s">
        <v>20</v>
      </c>
      <c r="C496" s="2" t="s">
        <v>14</v>
      </c>
      <c r="D496" s="10">
        <v>50</v>
      </c>
      <c r="E496" s="2">
        <v>0</v>
      </c>
      <c r="F496" s="2">
        <v>0</v>
      </c>
      <c r="G496" s="2">
        <v>0</v>
      </c>
      <c r="H496" s="2">
        <v>0</v>
      </c>
      <c r="I496" s="2">
        <v>0</v>
      </c>
      <c r="J496" s="2">
        <v>0</v>
      </c>
      <c r="K496" s="2">
        <v>0</v>
      </c>
      <c r="L496" s="2">
        <v>0</v>
      </c>
      <c r="M496" s="2" t="s">
        <v>503</v>
      </c>
    </row>
    <row r="497" spans="1:13" ht="39.950000000000003" customHeight="1">
      <c r="A497" s="10">
        <v>357</v>
      </c>
      <c r="B497" s="2" t="s">
        <v>30</v>
      </c>
      <c r="C497" s="2" t="s">
        <v>14</v>
      </c>
      <c r="D497" s="10">
        <v>110</v>
      </c>
      <c r="E497" s="2">
        <v>16</v>
      </c>
      <c r="F497" s="2">
        <v>0</v>
      </c>
      <c r="G497" s="2">
        <v>0</v>
      </c>
      <c r="H497" s="2">
        <v>0</v>
      </c>
      <c r="I497" s="2">
        <v>0</v>
      </c>
      <c r="J497" s="2">
        <v>21</v>
      </c>
      <c r="K497" s="2">
        <v>0</v>
      </c>
      <c r="L497" s="2">
        <v>16</v>
      </c>
      <c r="M497" s="2" t="s">
        <v>504</v>
      </c>
    </row>
    <row r="498" spans="1:13" ht="39.950000000000003" customHeight="1">
      <c r="A498" s="10">
        <v>358</v>
      </c>
      <c r="B498" s="2" t="s">
        <v>73</v>
      </c>
      <c r="C498" s="2" t="s">
        <v>14</v>
      </c>
      <c r="D498" s="10">
        <v>1470</v>
      </c>
      <c r="E498" s="2">
        <v>0</v>
      </c>
      <c r="F498" s="2">
        <v>0</v>
      </c>
      <c r="G498" s="2">
        <v>0</v>
      </c>
      <c r="H498" s="2">
        <v>0</v>
      </c>
      <c r="I498" s="2">
        <v>0</v>
      </c>
      <c r="J498" s="2">
        <v>0</v>
      </c>
      <c r="K498" s="2">
        <v>0</v>
      </c>
      <c r="L498" s="2">
        <v>0</v>
      </c>
      <c r="M498" s="2" t="s">
        <v>505</v>
      </c>
    </row>
    <row r="499" spans="1:13" ht="39.950000000000003" customHeight="1">
      <c r="A499" s="10">
        <v>359</v>
      </c>
      <c r="B499" s="2" t="s">
        <v>424</v>
      </c>
      <c r="C499" s="2" t="s">
        <v>25</v>
      </c>
      <c r="D499" s="10">
        <v>30</v>
      </c>
      <c r="E499" s="2">
        <v>3.3</v>
      </c>
      <c r="F499" s="2">
        <v>0</v>
      </c>
      <c r="G499" s="2">
        <v>0</v>
      </c>
      <c r="H499" s="2">
        <v>6.7</v>
      </c>
      <c r="I499" s="2">
        <v>0</v>
      </c>
      <c r="J499" s="2"/>
      <c r="K499" s="2">
        <v>0</v>
      </c>
      <c r="L499" s="2">
        <v>3.3</v>
      </c>
      <c r="M499" s="2" t="s">
        <v>506</v>
      </c>
    </row>
    <row r="500" spans="1:13" ht="39.950000000000003" customHeight="1">
      <c r="A500" s="10">
        <v>360</v>
      </c>
      <c r="B500" s="1" t="s">
        <v>424</v>
      </c>
      <c r="C500" s="1" t="s">
        <v>70</v>
      </c>
      <c r="D500" s="9">
        <v>21</v>
      </c>
      <c r="E500" s="1"/>
      <c r="F500" s="1"/>
      <c r="G500" s="1"/>
      <c r="H500" s="1">
        <f>6/21*100</f>
        <v>28.571428571428569</v>
      </c>
      <c r="I500" s="1"/>
      <c r="J500" s="1"/>
      <c r="K500" s="1"/>
      <c r="L500" s="1">
        <f>13/21*100</f>
        <v>61.904761904761905</v>
      </c>
      <c r="M500" s="1" t="s">
        <v>507</v>
      </c>
    </row>
    <row r="501" spans="1:13" ht="39.950000000000003" customHeight="1">
      <c r="A501" s="10">
        <v>361</v>
      </c>
      <c r="B501" s="2" t="s">
        <v>424</v>
      </c>
      <c r="C501" s="2" t="s">
        <v>14</v>
      </c>
      <c r="D501" s="10">
        <v>20</v>
      </c>
      <c r="E501" s="2">
        <v>0</v>
      </c>
      <c r="F501" s="2">
        <v>0</v>
      </c>
      <c r="G501" s="2">
        <v>0</v>
      </c>
      <c r="H501" s="2">
        <f>1/20*100</f>
        <v>5</v>
      </c>
      <c r="I501" s="2">
        <v>0</v>
      </c>
      <c r="J501" s="2"/>
      <c r="K501" s="2">
        <v>0</v>
      </c>
      <c r="L501" s="2">
        <v>0</v>
      </c>
      <c r="M501" s="2" t="s">
        <v>508</v>
      </c>
    </row>
    <row r="502" spans="1:13" ht="39.950000000000003" customHeight="1">
      <c r="A502" s="10">
        <v>362</v>
      </c>
      <c r="B502" s="2" t="s">
        <v>424</v>
      </c>
      <c r="C502" s="2" t="s">
        <v>25</v>
      </c>
      <c r="D502" s="10">
        <v>140</v>
      </c>
      <c r="E502" s="2"/>
      <c r="F502" s="2">
        <v>0</v>
      </c>
      <c r="G502" s="2"/>
      <c r="H502" s="2">
        <f>(21+14)/140*100</f>
        <v>25</v>
      </c>
      <c r="I502" s="2">
        <v>0</v>
      </c>
      <c r="J502" s="2"/>
      <c r="K502" s="2">
        <v>0</v>
      </c>
      <c r="L502" s="2">
        <v>76</v>
      </c>
      <c r="M502" s="2" t="s">
        <v>509</v>
      </c>
    </row>
    <row r="503" spans="1:13" ht="39.950000000000003" customHeight="1">
      <c r="A503" s="10">
        <v>363</v>
      </c>
      <c r="B503" s="2" t="s">
        <v>424</v>
      </c>
      <c r="C503" s="2" t="s">
        <v>25</v>
      </c>
      <c r="D503" s="10">
        <v>98</v>
      </c>
      <c r="E503" s="2">
        <v>6.1231632653061219</v>
      </c>
      <c r="F503" s="2">
        <v>3.0610204081632655</v>
      </c>
      <c r="G503" s="2">
        <v>52.224795918367356</v>
      </c>
      <c r="H503" s="2">
        <v>90.817346938775501</v>
      </c>
      <c r="I503" s="2"/>
      <c r="J503" s="2">
        <v>2.0412244897959186</v>
      </c>
      <c r="K503" s="2">
        <v>0</v>
      </c>
      <c r="L503" s="2"/>
      <c r="M503" s="2" t="s">
        <v>510</v>
      </c>
    </row>
    <row r="504" spans="1:13" ht="39.950000000000003" customHeight="1">
      <c r="A504" s="10">
        <v>364</v>
      </c>
      <c r="B504" s="2" t="s">
        <v>107</v>
      </c>
      <c r="C504" s="2" t="s">
        <v>14</v>
      </c>
      <c r="D504" s="10">
        <v>21</v>
      </c>
      <c r="E504" s="2">
        <v>0</v>
      </c>
      <c r="F504" s="2">
        <v>0</v>
      </c>
      <c r="G504" s="2"/>
      <c r="H504" s="2">
        <v>0</v>
      </c>
      <c r="I504" s="2">
        <v>0</v>
      </c>
      <c r="J504" s="2"/>
      <c r="K504" s="2">
        <v>0</v>
      </c>
      <c r="L504" s="2">
        <v>0</v>
      </c>
      <c r="M504" s="2" t="s">
        <v>511</v>
      </c>
    </row>
    <row r="505" spans="1:13" ht="39.950000000000003" customHeight="1">
      <c r="A505" s="10">
        <v>365</v>
      </c>
      <c r="B505" s="1" t="s">
        <v>264</v>
      </c>
      <c r="C505" s="1" t="s">
        <v>70</v>
      </c>
      <c r="D505" s="9">
        <v>13</v>
      </c>
      <c r="E505" s="1">
        <v>0</v>
      </c>
      <c r="F505" s="1">
        <v>0</v>
      </c>
      <c r="G505" s="1">
        <v>0</v>
      </c>
      <c r="H505" s="1">
        <v>0</v>
      </c>
      <c r="I505" s="1"/>
      <c r="J505" s="1"/>
      <c r="K505" s="1">
        <v>0</v>
      </c>
      <c r="L505" s="1"/>
      <c r="M505" s="1" t="s">
        <v>512</v>
      </c>
    </row>
    <row r="506" spans="1:13" ht="39.950000000000003" customHeight="1">
      <c r="A506" s="10">
        <v>365</v>
      </c>
      <c r="B506" s="1" t="s">
        <v>264</v>
      </c>
      <c r="C506" s="1" t="s">
        <v>70</v>
      </c>
      <c r="D506" s="9">
        <v>13</v>
      </c>
      <c r="E506" s="1">
        <v>0</v>
      </c>
      <c r="F506" s="1">
        <v>0</v>
      </c>
      <c r="G506" s="1">
        <v>0</v>
      </c>
      <c r="H506" s="1">
        <v>0</v>
      </c>
      <c r="I506" s="1"/>
      <c r="J506" s="1"/>
      <c r="K506" s="1">
        <v>0</v>
      </c>
      <c r="L506" s="1"/>
      <c r="M506" s="1" t="s">
        <v>512</v>
      </c>
    </row>
    <row r="507" spans="1:13" ht="39.950000000000003" customHeight="1">
      <c r="A507" s="10">
        <v>366</v>
      </c>
      <c r="B507" s="1" t="s">
        <v>213</v>
      </c>
      <c r="C507" s="1" t="s">
        <v>136</v>
      </c>
      <c r="D507" s="9">
        <v>40</v>
      </c>
      <c r="E507" s="1"/>
      <c r="F507" s="1"/>
      <c r="G507" s="1"/>
      <c r="H507" s="1"/>
      <c r="I507" s="1"/>
      <c r="J507" s="1"/>
      <c r="K507" s="1"/>
      <c r="L507" s="1">
        <v>97.5</v>
      </c>
      <c r="M507" s="1" t="s">
        <v>513</v>
      </c>
    </row>
    <row r="508" spans="1:13" ht="39.950000000000003" customHeight="1">
      <c r="A508" s="10">
        <v>367</v>
      </c>
      <c r="B508" s="2" t="s">
        <v>22</v>
      </c>
      <c r="C508" s="2" t="s">
        <v>62</v>
      </c>
      <c r="D508" s="10">
        <v>36</v>
      </c>
      <c r="E508" s="2"/>
      <c r="F508" s="2">
        <v>0</v>
      </c>
      <c r="G508" s="2"/>
      <c r="H508" s="2">
        <f>5/36*100</f>
        <v>13.888888888888889</v>
      </c>
      <c r="I508" s="2"/>
      <c r="J508" s="2"/>
      <c r="K508" s="2">
        <v>0</v>
      </c>
      <c r="L508" s="2">
        <v>0</v>
      </c>
      <c r="M508" s="2" t="s">
        <v>514</v>
      </c>
    </row>
    <row r="509" spans="1:13" ht="39.950000000000003" customHeight="1">
      <c r="A509" s="10">
        <v>368</v>
      </c>
      <c r="B509" s="2" t="s">
        <v>16</v>
      </c>
      <c r="C509" s="2" t="s">
        <v>14</v>
      </c>
      <c r="D509" s="10">
        <v>72</v>
      </c>
      <c r="E509" s="2"/>
      <c r="F509" s="2">
        <v>0</v>
      </c>
      <c r="G509" s="2"/>
      <c r="H509" s="2">
        <v>55</v>
      </c>
      <c r="I509" s="2">
        <v>0</v>
      </c>
      <c r="J509" s="2"/>
      <c r="K509" s="2">
        <v>0</v>
      </c>
      <c r="L509" s="2">
        <v>0</v>
      </c>
      <c r="M509" s="2" t="s">
        <v>515</v>
      </c>
    </row>
    <row r="510" spans="1:13" ht="39.950000000000003" customHeight="1">
      <c r="A510" s="10">
        <v>369</v>
      </c>
      <c r="B510" s="2" t="s">
        <v>30</v>
      </c>
      <c r="C510" s="2" t="s">
        <v>14</v>
      </c>
      <c r="D510" s="10">
        <v>20</v>
      </c>
      <c r="E510" s="2">
        <v>0</v>
      </c>
      <c r="F510" s="2">
        <v>0</v>
      </c>
      <c r="G510" s="2">
        <v>0</v>
      </c>
      <c r="H510" s="2">
        <v>0</v>
      </c>
      <c r="I510" s="2">
        <v>0</v>
      </c>
      <c r="J510" s="2">
        <v>0</v>
      </c>
      <c r="K510" s="2">
        <v>0</v>
      </c>
      <c r="L510" s="2">
        <v>0</v>
      </c>
      <c r="M510" s="2" t="s">
        <v>516</v>
      </c>
    </row>
    <row r="511" spans="1:13" ht="39.950000000000003" customHeight="1">
      <c r="A511" s="10">
        <v>370</v>
      </c>
      <c r="B511" s="2" t="s">
        <v>13</v>
      </c>
      <c r="C511" s="2" t="s">
        <v>14</v>
      </c>
      <c r="D511" s="10">
        <v>14</v>
      </c>
      <c r="E511" s="2"/>
      <c r="F511" s="2">
        <v>0</v>
      </c>
      <c r="G511" s="2"/>
      <c r="H511" s="2">
        <v>42.8</v>
      </c>
      <c r="I511" s="2">
        <v>0</v>
      </c>
      <c r="J511" s="2"/>
      <c r="K511" s="2">
        <v>0</v>
      </c>
      <c r="L511" s="2">
        <v>35.700000000000003</v>
      </c>
      <c r="M511" s="2" t="s">
        <v>517</v>
      </c>
    </row>
    <row r="512" spans="1:13" ht="39.950000000000003" customHeight="1">
      <c r="A512" s="10">
        <v>371</v>
      </c>
      <c r="B512" s="2" t="s">
        <v>123</v>
      </c>
      <c r="C512" s="2"/>
      <c r="D512" s="10">
        <v>14</v>
      </c>
      <c r="E512" s="2"/>
      <c r="F512" s="2">
        <v>0</v>
      </c>
      <c r="G512" s="2"/>
      <c r="H512" s="2"/>
      <c r="I512" s="2"/>
      <c r="J512" s="2"/>
      <c r="K512" s="2"/>
      <c r="L512" s="2"/>
      <c r="M512" s="2" t="s">
        <v>518</v>
      </c>
    </row>
    <row r="513" spans="1:13" ht="39.950000000000003" customHeight="1">
      <c r="A513" s="10">
        <v>372</v>
      </c>
      <c r="B513" s="1" t="s">
        <v>58</v>
      </c>
      <c r="C513" s="1" t="s">
        <v>25</v>
      </c>
      <c r="D513" s="9">
        <v>50</v>
      </c>
      <c r="E513" s="1"/>
      <c r="F513" s="1"/>
      <c r="G513" s="1"/>
      <c r="H513" s="1"/>
      <c r="I513" s="1"/>
      <c r="J513" s="1"/>
      <c r="K513" s="1"/>
      <c r="L513" s="1">
        <v>0</v>
      </c>
      <c r="M513" s="1" t="s">
        <v>519</v>
      </c>
    </row>
    <row r="514" spans="1:13" ht="39.950000000000003" customHeight="1">
      <c r="A514" s="10">
        <v>373</v>
      </c>
      <c r="B514" s="2" t="s">
        <v>58</v>
      </c>
      <c r="C514" s="2" t="s">
        <v>25</v>
      </c>
      <c r="D514" s="10">
        <v>103</v>
      </c>
      <c r="E514" s="2"/>
      <c r="F514" s="2">
        <v>0</v>
      </c>
      <c r="G514" s="2"/>
      <c r="H514" s="2">
        <v>13</v>
      </c>
      <c r="I514" s="2">
        <v>0</v>
      </c>
      <c r="J514" s="2"/>
      <c r="K514" s="2">
        <v>0</v>
      </c>
      <c r="L514" s="2">
        <v>0</v>
      </c>
      <c r="M514" s="2" t="s">
        <v>520</v>
      </c>
    </row>
    <row r="515" spans="1:13" ht="39.950000000000003" customHeight="1">
      <c r="A515" s="10">
        <v>374</v>
      </c>
      <c r="B515" s="2" t="s">
        <v>84</v>
      </c>
      <c r="C515" s="2" t="s">
        <v>25</v>
      </c>
      <c r="D515" s="10">
        <v>13</v>
      </c>
      <c r="E515" s="2">
        <v>0</v>
      </c>
      <c r="F515" s="2">
        <v>0</v>
      </c>
      <c r="G515" s="2">
        <v>0</v>
      </c>
      <c r="H515" s="2">
        <v>100</v>
      </c>
      <c r="I515" s="2">
        <f>10/13*100</f>
        <v>76.923076923076934</v>
      </c>
      <c r="J515" s="2">
        <v>0</v>
      </c>
      <c r="K515" s="2"/>
      <c r="L515" s="2"/>
      <c r="M515" s="2" t="s">
        <v>521</v>
      </c>
    </row>
    <row r="516" spans="1:13" ht="39.950000000000003" customHeight="1">
      <c r="A516" s="10">
        <v>375</v>
      </c>
      <c r="B516" s="1" t="s">
        <v>24</v>
      </c>
      <c r="C516" s="1" t="s">
        <v>70</v>
      </c>
      <c r="D516" s="9">
        <v>103</v>
      </c>
      <c r="E516" s="1">
        <v>0</v>
      </c>
      <c r="F516" s="1">
        <v>0</v>
      </c>
      <c r="G516" s="1">
        <v>0</v>
      </c>
      <c r="H516" s="1">
        <v>0</v>
      </c>
      <c r="I516" s="1">
        <v>0</v>
      </c>
      <c r="J516" s="1">
        <v>0</v>
      </c>
      <c r="K516" s="1">
        <v>0</v>
      </c>
      <c r="L516" s="1"/>
      <c r="M516" s="1" t="s">
        <v>522</v>
      </c>
    </row>
    <row r="517" spans="1:13" ht="39.950000000000003" customHeight="1">
      <c r="A517" s="10">
        <v>376</v>
      </c>
      <c r="B517" s="2" t="s">
        <v>22</v>
      </c>
      <c r="C517" s="2" t="s">
        <v>14</v>
      </c>
      <c r="D517" s="10">
        <v>50</v>
      </c>
      <c r="E517" s="2">
        <v>0</v>
      </c>
      <c r="F517" s="2">
        <v>0</v>
      </c>
      <c r="G517" s="2">
        <v>0</v>
      </c>
      <c r="H517" s="2">
        <v>20</v>
      </c>
      <c r="I517" s="2"/>
      <c r="J517" s="2">
        <v>0</v>
      </c>
      <c r="K517" s="2">
        <v>0</v>
      </c>
      <c r="L517" s="2"/>
      <c r="M517" s="2" t="s">
        <v>523</v>
      </c>
    </row>
    <row r="518" spans="1:13" ht="39.950000000000003" customHeight="1">
      <c r="A518" s="10">
        <v>377</v>
      </c>
      <c r="B518" s="2" t="s">
        <v>22</v>
      </c>
      <c r="C518" s="2" t="s">
        <v>25</v>
      </c>
      <c r="D518" s="10">
        <v>82</v>
      </c>
      <c r="E518" s="2"/>
      <c r="F518" s="2">
        <v>0</v>
      </c>
      <c r="G518" s="2">
        <v>0</v>
      </c>
      <c r="H518" s="2"/>
      <c r="I518" s="2">
        <v>75.61</v>
      </c>
      <c r="J518" s="2">
        <v>0</v>
      </c>
      <c r="K518" s="2">
        <v>0</v>
      </c>
      <c r="L518" s="2"/>
      <c r="M518" s="2" t="s">
        <v>524</v>
      </c>
    </row>
    <row r="519" spans="1:13" ht="39.950000000000003" customHeight="1">
      <c r="A519" s="10">
        <v>378</v>
      </c>
      <c r="B519" s="2" t="s">
        <v>30</v>
      </c>
      <c r="C519" s="2" t="s">
        <v>14</v>
      </c>
      <c r="D519" s="10">
        <v>17</v>
      </c>
      <c r="E519" s="2"/>
      <c r="F519" s="2">
        <v>0</v>
      </c>
      <c r="G519" s="2"/>
      <c r="H519" s="2"/>
      <c r="I519" s="2"/>
      <c r="J519" s="2"/>
      <c r="K519" s="2">
        <v>0</v>
      </c>
      <c r="L519" s="2">
        <v>0</v>
      </c>
      <c r="M519" s="2" t="s">
        <v>525</v>
      </c>
    </row>
    <row r="520" spans="1:13" ht="39.950000000000003" customHeight="1">
      <c r="A520" s="10">
        <v>379</v>
      </c>
      <c r="B520" s="2" t="s">
        <v>20</v>
      </c>
      <c r="C520" s="2" t="s">
        <v>25</v>
      </c>
      <c r="D520" s="10">
        <v>10</v>
      </c>
      <c r="E520" s="2">
        <v>0</v>
      </c>
      <c r="F520" s="2">
        <v>0</v>
      </c>
      <c r="G520" s="2">
        <v>10</v>
      </c>
      <c r="H520" s="2">
        <v>40</v>
      </c>
      <c r="I520" s="2">
        <v>0</v>
      </c>
      <c r="J520" s="2">
        <v>0</v>
      </c>
      <c r="K520" s="2">
        <v>0</v>
      </c>
      <c r="L520" s="2">
        <v>50</v>
      </c>
      <c r="M520" s="2" t="s">
        <v>526</v>
      </c>
    </row>
    <row r="521" spans="1:13" ht="39.950000000000003" customHeight="1">
      <c r="A521" s="10">
        <v>380</v>
      </c>
      <c r="B521" s="2" t="s">
        <v>16</v>
      </c>
      <c r="C521" s="2" t="s">
        <v>14</v>
      </c>
      <c r="D521" s="10">
        <v>673</v>
      </c>
      <c r="E521" s="2">
        <v>0</v>
      </c>
      <c r="F521" s="2">
        <f>(161+37+6)/623*100</f>
        <v>32.744783306581063</v>
      </c>
      <c r="G521" s="2">
        <f>106/623*100</f>
        <v>17.014446227929376</v>
      </c>
      <c r="H521" s="2"/>
      <c r="I521" s="2"/>
      <c r="J521" s="2"/>
      <c r="K521" s="2"/>
      <c r="L521" s="2"/>
      <c r="M521" s="2" t="s">
        <v>527</v>
      </c>
    </row>
    <row r="522" spans="1:13" ht="39.950000000000003" customHeight="1">
      <c r="A522" s="10">
        <v>381</v>
      </c>
      <c r="B522" s="2" t="s">
        <v>27</v>
      </c>
      <c r="C522" s="2" t="s">
        <v>14</v>
      </c>
      <c r="D522" s="10">
        <v>219</v>
      </c>
      <c r="E522" s="2">
        <v>2.7</v>
      </c>
      <c r="F522" s="2">
        <v>8.6999999999999993</v>
      </c>
      <c r="G522" s="2">
        <v>15.1</v>
      </c>
      <c r="H522" s="2">
        <v>68.5</v>
      </c>
      <c r="I522" s="2">
        <v>13.2</v>
      </c>
      <c r="J522" s="2">
        <v>2.7</v>
      </c>
      <c r="K522" s="2">
        <v>0</v>
      </c>
      <c r="L522" s="2"/>
      <c r="M522" s="2" t="s">
        <v>528</v>
      </c>
    </row>
    <row r="523" spans="1:13" ht="39.950000000000003" customHeight="1">
      <c r="A523" s="10">
        <v>382</v>
      </c>
      <c r="B523" s="2" t="s">
        <v>27</v>
      </c>
      <c r="C523" s="2" t="s">
        <v>36</v>
      </c>
      <c r="D523" s="10">
        <v>10</v>
      </c>
      <c r="E523" s="2"/>
      <c r="F523" s="2"/>
      <c r="G523" s="2"/>
      <c r="H523" s="2">
        <v>100</v>
      </c>
      <c r="I523" s="2"/>
      <c r="J523" s="2"/>
      <c r="K523" s="2"/>
      <c r="L523" s="2"/>
      <c r="M523" s="2" t="s">
        <v>529</v>
      </c>
    </row>
    <row r="524" spans="1:13" ht="39.950000000000003" customHeight="1">
      <c r="A524" s="10">
        <v>382</v>
      </c>
      <c r="B524" s="2" t="s">
        <v>27</v>
      </c>
      <c r="C524" s="2" t="s">
        <v>36</v>
      </c>
      <c r="D524" s="10">
        <v>10</v>
      </c>
      <c r="E524" s="2"/>
      <c r="F524" s="2"/>
      <c r="G524" s="2"/>
      <c r="H524" s="2">
        <v>100</v>
      </c>
      <c r="I524" s="2"/>
      <c r="J524" s="2"/>
      <c r="K524" s="2"/>
      <c r="L524" s="2"/>
      <c r="M524" s="2" t="s">
        <v>529</v>
      </c>
    </row>
    <row r="525" spans="1:13" ht="39.950000000000003" customHeight="1">
      <c r="A525" s="10">
        <v>383</v>
      </c>
      <c r="B525" s="2" t="s">
        <v>123</v>
      </c>
      <c r="C525" s="2" t="s">
        <v>14</v>
      </c>
      <c r="D525" s="10">
        <v>21</v>
      </c>
      <c r="E525" s="2">
        <v>0</v>
      </c>
      <c r="F525" s="2"/>
      <c r="G525" s="2">
        <v>0</v>
      </c>
      <c r="H525" s="2"/>
      <c r="I525" s="2"/>
      <c r="J525" s="2">
        <v>0</v>
      </c>
      <c r="K525" s="2">
        <v>0</v>
      </c>
      <c r="L525" s="2"/>
      <c r="M525" s="2" t="s">
        <v>530</v>
      </c>
    </row>
    <row r="526" spans="1:13" ht="39.950000000000003" customHeight="1">
      <c r="A526" s="10">
        <v>384</v>
      </c>
      <c r="B526" s="2" t="s">
        <v>107</v>
      </c>
      <c r="C526" s="2" t="s">
        <v>52</v>
      </c>
      <c r="D526" s="10">
        <v>16</v>
      </c>
      <c r="E526" s="2">
        <v>0</v>
      </c>
      <c r="F526" s="2">
        <v>0</v>
      </c>
      <c r="G526" s="2">
        <v>0</v>
      </c>
      <c r="H526" s="2">
        <v>0</v>
      </c>
      <c r="I526" s="2">
        <v>0</v>
      </c>
      <c r="J526" s="2">
        <v>0</v>
      </c>
      <c r="K526" s="2">
        <v>0</v>
      </c>
      <c r="L526" s="2">
        <v>0</v>
      </c>
      <c r="M526" s="2" t="s">
        <v>531</v>
      </c>
    </row>
    <row r="527" spans="1:13" ht="39.950000000000003" customHeight="1">
      <c r="A527" s="10">
        <v>385</v>
      </c>
      <c r="B527" s="2" t="s">
        <v>22</v>
      </c>
      <c r="C527" s="2" t="s">
        <v>14</v>
      </c>
      <c r="D527" s="10">
        <v>44</v>
      </c>
      <c r="E527" s="2">
        <v>0</v>
      </c>
      <c r="F527" s="2">
        <v>0</v>
      </c>
      <c r="G527" s="2"/>
      <c r="H527" s="2">
        <v>0</v>
      </c>
      <c r="I527" s="2">
        <v>0</v>
      </c>
      <c r="J527" s="2"/>
      <c r="K527" s="2">
        <v>0</v>
      </c>
      <c r="L527" s="2">
        <v>0</v>
      </c>
      <c r="M527" s="2" t="s">
        <v>532</v>
      </c>
    </row>
    <row r="528" spans="1:13" ht="39.950000000000003" customHeight="1">
      <c r="A528" s="10">
        <v>386</v>
      </c>
      <c r="B528" s="2" t="s">
        <v>30</v>
      </c>
      <c r="C528" s="2" t="s">
        <v>14</v>
      </c>
      <c r="D528" s="10">
        <v>100</v>
      </c>
      <c r="E528" s="2">
        <v>20</v>
      </c>
      <c r="F528" s="2">
        <v>0</v>
      </c>
      <c r="G528" s="2">
        <v>5</v>
      </c>
      <c r="H528" s="2">
        <v>0</v>
      </c>
      <c r="I528" s="2"/>
      <c r="J528" s="2">
        <v>0</v>
      </c>
      <c r="K528" s="2">
        <v>4</v>
      </c>
      <c r="L528" s="2"/>
      <c r="M528" s="2" t="s">
        <v>533</v>
      </c>
    </row>
    <row r="529" spans="1:13" ht="39.950000000000003" customHeight="1">
      <c r="A529" s="10">
        <v>387</v>
      </c>
      <c r="B529" s="2" t="s">
        <v>20</v>
      </c>
      <c r="C529" s="2" t="s">
        <v>534</v>
      </c>
      <c r="D529" s="10">
        <v>113</v>
      </c>
      <c r="E529" s="2">
        <v>7.52</v>
      </c>
      <c r="F529" s="2">
        <v>12.8</v>
      </c>
      <c r="G529" s="2">
        <v>3.01</v>
      </c>
      <c r="H529" s="2">
        <v>2.25</v>
      </c>
      <c r="I529" s="2">
        <v>0.75</v>
      </c>
      <c r="J529" s="2"/>
      <c r="K529" s="2">
        <v>0</v>
      </c>
      <c r="L529" s="2">
        <v>43.61</v>
      </c>
      <c r="M529" s="2" t="s">
        <v>535</v>
      </c>
    </row>
    <row r="530" spans="1:13" ht="39.950000000000003" customHeight="1">
      <c r="A530" s="10">
        <v>388</v>
      </c>
      <c r="B530" s="2" t="s">
        <v>107</v>
      </c>
      <c r="C530" s="2" t="s">
        <v>25</v>
      </c>
      <c r="D530" s="10">
        <v>52</v>
      </c>
      <c r="E530" s="2">
        <v>0</v>
      </c>
      <c r="F530" s="2">
        <v>0</v>
      </c>
      <c r="G530" s="2"/>
      <c r="H530" s="2">
        <v>100</v>
      </c>
      <c r="I530" s="2"/>
      <c r="J530" s="2"/>
      <c r="K530" s="2"/>
      <c r="L530" s="2"/>
      <c r="M530" s="2" t="s">
        <v>536</v>
      </c>
    </row>
    <row r="531" spans="1:13" ht="39.950000000000003" customHeight="1">
      <c r="A531" s="10">
        <v>389</v>
      </c>
      <c r="B531" s="2" t="s">
        <v>123</v>
      </c>
      <c r="C531" s="2" t="s">
        <v>25</v>
      </c>
      <c r="D531" s="10">
        <v>10</v>
      </c>
      <c r="E531" s="2">
        <v>0</v>
      </c>
      <c r="F531" s="2">
        <v>0</v>
      </c>
      <c r="G531" s="2">
        <v>0</v>
      </c>
      <c r="H531" s="2"/>
      <c r="I531" s="2"/>
      <c r="J531" s="2">
        <v>10</v>
      </c>
      <c r="K531" s="2">
        <v>0</v>
      </c>
      <c r="L531" s="2"/>
      <c r="M531" s="2" t="s">
        <v>537</v>
      </c>
    </row>
    <row r="532" spans="1:13" ht="39.950000000000003" customHeight="1">
      <c r="A532" s="10">
        <v>390</v>
      </c>
      <c r="B532" s="2" t="s">
        <v>24</v>
      </c>
      <c r="C532" s="2" t="s">
        <v>25</v>
      </c>
      <c r="D532" s="10">
        <v>19</v>
      </c>
      <c r="E532" s="2">
        <v>0</v>
      </c>
      <c r="F532" s="2">
        <v>0</v>
      </c>
      <c r="G532" s="2">
        <v>0</v>
      </c>
      <c r="H532" s="2">
        <v>100</v>
      </c>
      <c r="I532" s="2"/>
      <c r="J532" s="2"/>
      <c r="K532" s="2"/>
      <c r="L532" s="2"/>
      <c r="M532" s="2" t="s">
        <v>538</v>
      </c>
    </row>
    <row r="533" spans="1:13" ht="39.950000000000003" customHeight="1">
      <c r="A533" s="10">
        <v>391</v>
      </c>
      <c r="B533" s="1" t="s">
        <v>24</v>
      </c>
      <c r="C533" s="1" t="s">
        <v>70</v>
      </c>
      <c r="D533" s="9">
        <v>19</v>
      </c>
      <c r="E533" s="1">
        <v>0</v>
      </c>
      <c r="F533" s="1">
        <v>0</v>
      </c>
      <c r="G533" s="1">
        <v>0</v>
      </c>
      <c r="H533" s="1">
        <v>100</v>
      </c>
      <c r="I533" s="1"/>
      <c r="J533" s="1"/>
      <c r="K533" s="1"/>
      <c r="L533" s="1"/>
      <c r="M533" s="1" t="s">
        <v>538</v>
      </c>
    </row>
    <row r="534" spans="1:13" ht="39.950000000000003" customHeight="1">
      <c r="A534" s="10">
        <v>392</v>
      </c>
      <c r="B534" s="2" t="s">
        <v>58</v>
      </c>
      <c r="C534" s="2" t="s">
        <v>14</v>
      </c>
      <c r="D534" s="10">
        <v>161</v>
      </c>
      <c r="E534" s="2">
        <v>0</v>
      </c>
      <c r="F534" s="2">
        <v>0</v>
      </c>
      <c r="G534" s="2">
        <v>0</v>
      </c>
      <c r="H534" s="2">
        <v>100</v>
      </c>
      <c r="I534" s="2">
        <v>1.2</v>
      </c>
      <c r="J534" s="2">
        <v>0</v>
      </c>
      <c r="K534" s="2">
        <v>0</v>
      </c>
      <c r="L534" s="2">
        <v>88.8</v>
      </c>
      <c r="M534" s="2" t="s">
        <v>539</v>
      </c>
    </row>
    <row r="535" spans="1:13" ht="39.950000000000003" customHeight="1">
      <c r="A535" s="10">
        <v>393</v>
      </c>
      <c r="B535" s="2" t="s">
        <v>58</v>
      </c>
      <c r="C535" s="2" t="s">
        <v>14</v>
      </c>
      <c r="D535" s="10">
        <v>913</v>
      </c>
      <c r="E535" s="2"/>
      <c r="F535" s="2"/>
      <c r="G535" s="2"/>
      <c r="H535" s="2">
        <f>7/(99+362)*100</f>
        <v>1.5184381778741864</v>
      </c>
      <c r="I535" s="2">
        <f>9/(9+362)*100</f>
        <v>2.4258760107816713</v>
      </c>
      <c r="J535" s="2"/>
      <c r="K535" s="2"/>
      <c r="L535" s="2"/>
      <c r="M535" s="2" t="s">
        <v>540</v>
      </c>
    </row>
    <row r="536" spans="1:13" ht="39.950000000000003" customHeight="1">
      <c r="A536" s="10">
        <v>394</v>
      </c>
      <c r="B536" s="2" t="s">
        <v>58</v>
      </c>
      <c r="C536" s="2" t="s">
        <v>14</v>
      </c>
      <c r="D536" s="10">
        <v>67</v>
      </c>
      <c r="E536" s="2">
        <v>0</v>
      </c>
      <c r="F536" s="2">
        <v>0</v>
      </c>
      <c r="G536" s="2"/>
      <c r="H536" s="2">
        <v>1.5</v>
      </c>
      <c r="I536" s="2">
        <v>20.9</v>
      </c>
      <c r="J536" s="2">
        <v>0</v>
      </c>
      <c r="K536" s="2">
        <v>0</v>
      </c>
      <c r="L536" s="2"/>
      <c r="M536" s="2" t="s">
        <v>541</v>
      </c>
    </row>
    <row r="537" spans="1:13" ht="39.950000000000003" customHeight="1">
      <c r="A537" s="10">
        <v>395</v>
      </c>
      <c r="B537" s="2" t="s">
        <v>58</v>
      </c>
      <c r="C537" s="2" t="s">
        <v>14</v>
      </c>
      <c r="D537" s="10">
        <v>20</v>
      </c>
      <c r="E537" s="2">
        <v>0</v>
      </c>
      <c r="F537" s="2">
        <v>0</v>
      </c>
      <c r="G537" s="2">
        <v>0</v>
      </c>
      <c r="H537" s="2">
        <v>0</v>
      </c>
      <c r="I537" s="2">
        <v>0</v>
      </c>
      <c r="J537" s="2"/>
      <c r="K537" s="2">
        <v>0</v>
      </c>
      <c r="L537" s="2">
        <v>0</v>
      </c>
      <c r="M537" s="2" t="s">
        <v>542</v>
      </c>
    </row>
    <row r="538" spans="1:13" ht="39.950000000000003" customHeight="1">
      <c r="A538" s="10">
        <v>396</v>
      </c>
      <c r="B538" s="2" t="s">
        <v>58</v>
      </c>
      <c r="C538" s="2"/>
      <c r="D538" s="10">
        <v>664</v>
      </c>
      <c r="E538" s="2">
        <v>0</v>
      </c>
      <c r="F538" s="2">
        <v>0</v>
      </c>
      <c r="G538" s="2"/>
      <c r="H538" s="2">
        <v>0</v>
      </c>
      <c r="I538" s="2">
        <v>0</v>
      </c>
      <c r="J538" s="2"/>
      <c r="K538" s="2">
        <v>0</v>
      </c>
      <c r="L538" s="2">
        <v>0</v>
      </c>
      <c r="M538" s="2" t="s">
        <v>543</v>
      </c>
    </row>
    <row r="539" spans="1:13" ht="39.950000000000003" customHeight="1">
      <c r="A539" s="10">
        <v>397</v>
      </c>
      <c r="B539" s="2" t="s">
        <v>58</v>
      </c>
      <c r="C539" s="2" t="s">
        <v>70</v>
      </c>
      <c r="D539" s="10">
        <v>381</v>
      </c>
      <c r="E539" s="2">
        <v>0</v>
      </c>
      <c r="F539" s="2">
        <v>1.84</v>
      </c>
      <c r="G539" s="2">
        <v>0</v>
      </c>
      <c r="H539" s="2">
        <v>3.41</v>
      </c>
      <c r="I539" s="2">
        <v>13.12</v>
      </c>
      <c r="J539" s="2">
        <v>4.46</v>
      </c>
      <c r="K539" s="2">
        <v>0</v>
      </c>
      <c r="L539" s="2">
        <v>0</v>
      </c>
      <c r="M539" s="2" t="s">
        <v>544</v>
      </c>
    </row>
    <row r="540" spans="1:13" ht="39.950000000000003" customHeight="1">
      <c r="A540" s="10">
        <v>398</v>
      </c>
      <c r="B540" s="2" t="s">
        <v>58</v>
      </c>
      <c r="C540" s="2" t="s">
        <v>14</v>
      </c>
      <c r="D540" s="10">
        <v>61</v>
      </c>
      <c r="E540" s="2">
        <v>0</v>
      </c>
      <c r="F540" s="2">
        <v>0</v>
      </c>
      <c r="G540" s="2">
        <v>0</v>
      </c>
      <c r="H540" s="2">
        <v>0</v>
      </c>
      <c r="I540" s="2"/>
      <c r="J540" s="2">
        <v>4.92</v>
      </c>
      <c r="K540" s="2">
        <v>0</v>
      </c>
      <c r="L540" s="2"/>
      <c r="M540" s="2" t="s">
        <v>545</v>
      </c>
    </row>
    <row r="541" spans="1:13" ht="39.950000000000003" customHeight="1">
      <c r="A541" s="10">
        <v>399</v>
      </c>
      <c r="B541" s="2" t="s">
        <v>58</v>
      </c>
      <c r="C541" s="2" t="s">
        <v>14</v>
      </c>
      <c r="D541" s="10">
        <v>32</v>
      </c>
      <c r="E541" s="2"/>
      <c r="F541" s="2">
        <v>0</v>
      </c>
      <c r="G541" s="2"/>
      <c r="H541" s="2">
        <v>0</v>
      </c>
      <c r="I541" s="2">
        <v>0</v>
      </c>
      <c r="J541" s="2"/>
      <c r="K541" s="2">
        <v>0</v>
      </c>
      <c r="L541" s="2">
        <v>0</v>
      </c>
      <c r="M541" s="2" t="s">
        <v>546</v>
      </c>
    </row>
    <row r="542" spans="1:13" ht="39.950000000000003" customHeight="1">
      <c r="A542" s="10">
        <v>400</v>
      </c>
      <c r="B542" s="2" t="s">
        <v>84</v>
      </c>
      <c r="C542" s="2" t="s">
        <v>25</v>
      </c>
      <c r="D542" s="10">
        <v>8</v>
      </c>
      <c r="E542" s="2">
        <f>1/8*100</f>
        <v>12.5</v>
      </c>
      <c r="F542" s="2"/>
      <c r="G542" s="2">
        <v>100</v>
      </c>
      <c r="H542" s="2">
        <v>100</v>
      </c>
      <c r="I542" s="2"/>
      <c r="J542" s="2">
        <v>100</v>
      </c>
      <c r="K542" s="2">
        <v>0</v>
      </c>
      <c r="L542" s="2"/>
      <c r="M542" s="2" t="s">
        <v>547</v>
      </c>
    </row>
    <row r="543" spans="1:13" ht="39.950000000000003" customHeight="1">
      <c r="A543" s="10">
        <v>401</v>
      </c>
      <c r="B543" s="2" t="s">
        <v>84</v>
      </c>
      <c r="C543" s="2" t="s">
        <v>548</v>
      </c>
      <c r="D543" s="10">
        <v>8</v>
      </c>
      <c r="E543" s="2">
        <f>5/8*100</f>
        <v>62.5</v>
      </c>
      <c r="F543" s="2"/>
      <c r="G543" s="2">
        <v>100</v>
      </c>
      <c r="H543" s="2">
        <v>100</v>
      </c>
      <c r="I543" s="2"/>
      <c r="J543" s="2">
        <v>100</v>
      </c>
      <c r="K543" s="2">
        <v>0</v>
      </c>
      <c r="L543" s="2"/>
      <c r="M543" s="2" t="s">
        <v>549</v>
      </c>
    </row>
    <row r="544" spans="1:13" ht="39.950000000000003" customHeight="1">
      <c r="A544" s="10">
        <v>402</v>
      </c>
      <c r="B544" s="2" t="s">
        <v>84</v>
      </c>
      <c r="C544" s="2" t="s">
        <v>548</v>
      </c>
      <c r="D544" s="10">
        <v>8</v>
      </c>
      <c r="E544" s="2">
        <f>2/8*100</f>
        <v>25</v>
      </c>
      <c r="F544" s="2"/>
      <c r="G544" s="2">
        <v>100</v>
      </c>
      <c r="H544" s="2">
        <v>100</v>
      </c>
      <c r="I544" s="2"/>
      <c r="J544" s="2"/>
      <c r="K544" s="2"/>
      <c r="L544" s="2"/>
      <c r="M544" s="2" t="s">
        <v>550</v>
      </c>
    </row>
    <row r="545" spans="1:13" ht="39.950000000000003" customHeight="1">
      <c r="A545" s="10">
        <v>403</v>
      </c>
      <c r="B545" s="2" t="s">
        <v>84</v>
      </c>
      <c r="C545" s="2" t="s">
        <v>548</v>
      </c>
      <c r="D545" s="10">
        <v>4</v>
      </c>
      <c r="E545" s="2">
        <v>0</v>
      </c>
      <c r="F545" s="2">
        <v>0</v>
      </c>
      <c r="G545" s="2">
        <f>1/48*100</f>
        <v>2.083333333333333</v>
      </c>
      <c r="H545" s="2">
        <v>100</v>
      </c>
      <c r="I545" s="2"/>
      <c r="J545" s="2">
        <v>100</v>
      </c>
      <c r="K545" s="2"/>
      <c r="L545" s="2"/>
      <c r="M545" s="2" t="s">
        <v>551</v>
      </c>
    </row>
    <row r="546" spans="1:13" ht="39.950000000000003" customHeight="1">
      <c r="A546" s="10">
        <v>404</v>
      </c>
      <c r="B546" s="1" t="s">
        <v>90</v>
      </c>
      <c r="C546" s="1" t="s">
        <v>52</v>
      </c>
      <c r="D546" s="9">
        <v>17</v>
      </c>
      <c r="E546" s="1"/>
      <c r="F546" s="1"/>
      <c r="G546" s="1"/>
      <c r="H546" s="1"/>
      <c r="I546" s="1"/>
      <c r="J546" s="1"/>
      <c r="K546" s="1"/>
      <c r="L546" s="1">
        <v>0</v>
      </c>
      <c r="M546" s="1" t="s">
        <v>552</v>
      </c>
    </row>
    <row r="547" spans="1:13" ht="39.950000000000003" customHeight="1">
      <c r="A547" s="10">
        <v>405</v>
      </c>
      <c r="B547" s="2" t="s">
        <v>84</v>
      </c>
      <c r="C547" s="2"/>
      <c r="D547" s="10">
        <v>13</v>
      </c>
      <c r="E547" s="2">
        <v>0</v>
      </c>
      <c r="F547" s="2">
        <v>0</v>
      </c>
      <c r="G547" s="2">
        <v>0</v>
      </c>
      <c r="H547" s="2">
        <f>1/13*100</f>
        <v>7.6923076923076925</v>
      </c>
      <c r="I547" s="2">
        <v>0</v>
      </c>
      <c r="J547" s="2">
        <v>0</v>
      </c>
      <c r="K547" s="2">
        <v>0</v>
      </c>
      <c r="L547" s="2">
        <f>2/12*100</f>
        <v>16.666666666666664</v>
      </c>
      <c r="M547" s="2" t="s">
        <v>553</v>
      </c>
    </row>
    <row r="548" spans="1:13" ht="39.950000000000003" customHeight="1">
      <c r="A548" s="10">
        <v>406</v>
      </c>
      <c r="B548" s="2" t="s">
        <v>22</v>
      </c>
      <c r="C548" s="2" t="s">
        <v>62</v>
      </c>
      <c r="D548" s="10">
        <v>70</v>
      </c>
      <c r="E548" s="2">
        <v>0</v>
      </c>
      <c r="F548" s="2">
        <v>0</v>
      </c>
      <c r="G548" s="2">
        <v>0</v>
      </c>
      <c r="H548" s="2">
        <v>0</v>
      </c>
      <c r="I548" s="2">
        <v>0</v>
      </c>
      <c r="J548" s="2"/>
      <c r="K548" s="2">
        <v>28.571428571428573</v>
      </c>
      <c r="L548" s="2">
        <v>32.857142857142854</v>
      </c>
      <c r="M548" s="2" t="s">
        <v>554</v>
      </c>
    </row>
    <row r="549" spans="1:13" ht="39.950000000000003" customHeight="1">
      <c r="A549" s="10">
        <v>407</v>
      </c>
      <c r="B549" s="2" t="s">
        <v>58</v>
      </c>
      <c r="C549" s="2"/>
      <c r="D549" s="10">
        <v>160</v>
      </c>
      <c r="E549" s="2"/>
      <c r="F549" s="2">
        <v>17.5</v>
      </c>
      <c r="G549" s="2">
        <v>11.8</v>
      </c>
      <c r="H549" s="2"/>
      <c r="I549" s="2">
        <v>13.2</v>
      </c>
      <c r="J549" s="2">
        <v>15.4</v>
      </c>
      <c r="K549" s="2"/>
      <c r="L549" s="2">
        <v>0</v>
      </c>
      <c r="M549" s="2" t="s">
        <v>555</v>
      </c>
    </row>
    <row r="550" spans="1:13" ht="39.950000000000003" customHeight="1">
      <c r="A550" s="10">
        <v>408</v>
      </c>
      <c r="B550" s="2" t="s">
        <v>84</v>
      </c>
      <c r="C550" s="2" t="s">
        <v>62</v>
      </c>
      <c r="D550" s="10">
        <v>13</v>
      </c>
      <c r="E550" s="2">
        <v>0</v>
      </c>
      <c r="F550" s="2">
        <v>0</v>
      </c>
      <c r="G550" s="2">
        <v>100</v>
      </c>
      <c r="H550" s="2">
        <f>1/16*100</f>
        <v>6.25</v>
      </c>
      <c r="I550" s="2"/>
      <c r="J550" s="2"/>
      <c r="K550" s="2">
        <f>10/13*100</f>
        <v>76.923076923076934</v>
      </c>
      <c r="L550" s="2"/>
      <c r="M550" s="2" t="s">
        <v>556</v>
      </c>
    </row>
    <row r="551" spans="1:13" ht="39.950000000000003" customHeight="1">
      <c r="A551" s="10">
        <v>409</v>
      </c>
      <c r="B551" s="2" t="s">
        <v>18</v>
      </c>
      <c r="C551" s="2" t="s">
        <v>14</v>
      </c>
      <c r="D551" s="10">
        <v>385</v>
      </c>
      <c r="E551" s="2">
        <f>1/385*100</f>
        <v>0.25974025974025972</v>
      </c>
      <c r="F551" s="2">
        <v>0</v>
      </c>
      <c r="G551" s="2"/>
      <c r="H551" s="2">
        <f>6/385*100</f>
        <v>1.5584415584415585</v>
      </c>
      <c r="I551" s="2">
        <v>0</v>
      </c>
      <c r="J551" s="2"/>
      <c r="K551" s="2"/>
      <c r="L551" s="2">
        <v>0.52</v>
      </c>
      <c r="M551" s="2" t="s">
        <v>557</v>
      </c>
    </row>
    <row r="552" spans="1:13" ht="39.950000000000003" customHeight="1">
      <c r="A552" s="10">
        <v>409</v>
      </c>
      <c r="B552" s="2" t="s">
        <v>18</v>
      </c>
      <c r="C552" s="2" t="s">
        <v>52</v>
      </c>
      <c r="D552" s="10">
        <v>385</v>
      </c>
      <c r="E552" s="2">
        <v>0</v>
      </c>
      <c r="F552" s="2">
        <v>0</v>
      </c>
      <c r="G552" s="2"/>
      <c r="H552" s="2">
        <v>1.56</v>
      </c>
      <c r="I552" s="2"/>
      <c r="J552" s="2"/>
      <c r="K552" s="2">
        <v>0</v>
      </c>
      <c r="L552" s="2"/>
      <c r="M552" s="2" t="s">
        <v>557</v>
      </c>
    </row>
    <row r="553" spans="1:13" ht="39.950000000000003" customHeight="1">
      <c r="A553" s="9">
        <v>410</v>
      </c>
      <c r="B553" s="1" t="s">
        <v>558</v>
      </c>
      <c r="C553" s="2" t="s">
        <v>52</v>
      </c>
      <c r="D553" s="9">
        <v>16</v>
      </c>
      <c r="E553" s="1"/>
      <c r="F553" s="1">
        <v>0</v>
      </c>
      <c r="G553" s="1">
        <v>0</v>
      </c>
      <c r="H553" s="1"/>
      <c r="I553" s="1"/>
      <c r="J553" s="1">
        <v>0</v>
      </c>
      <c r="K553" s="1"/>
      <c r="L553" s="1">
        <v>0</v>
      </c>
      <c r="M553" s="1" t="s">
        <v>559</v>
      </c>
    </row>
    <row r="554" spans="1:13" ht="39.950000000000003" customHeight="1">
      <c r="A554" s="10">
        <v>411</v>
      </c>
      <c r="B554" s="1" t="s">
        <v>558</v>
      </c>
      <c r="C554" s="2" t="s">
        <v>52</v>
      </c>
      <c r="D554" s="9">
        <v>4</v>
      </c>
      <c r="E554" s="1"/>
      <c r="F554" s="1">
        <v>0</v>
      </c>
      <c r="G554" s="1"/>
      <c r="H554" s="1">
        <v>0</v>
      </c>
      <c r="I554" s="1">
        <v>0</v>
      </c>
      <c r="J554" s="1"/>
      <c r="K554" s="1">
        <v>0</v>
      </c>
      <c r="L554" s="1">
        <v>0</v>
      </c>
      <c r="M554" s="1" t="s">
        <v>559</v>
      </c>
    </row>
    <row r="555" spans="1:13" ht="39.950000000000003" customHeight="1">
      <c r="A555" s="9">
        <v>412</v>
      </c>
      <c r="B555" s="1" t="s">
        <v>558</v>
      </c>
      <c r="C555" s="2" t="s">
        <v>52</v>
      </c>
      <c r="D555" s="9">
        <v>4</v>
      </c>
      <c r="E555" s="1"/>
      <c r="F555" s="1"/>
      <c r="G555" s="1"/>
      <c r="H555" s="1"/>
      <c r="I555" s="1"/>
      <c r="J555" s="1"/>
      <c r="K555" s="1"/>
      <c r="L555" s="1"/>
      <c r="M555" s="1" t="s">
        <v>560</v>
      </c>
    </row>
    <row r="556" spans="1:13" ht="39.950000000000003" customHeight="1">
      <c r="A556" s="10">
        <v>413</v>
      </c>
      <c r="B556" s="1" t="s">
        <v>558</v>
      </c>
      <c r="C556" s="2" t="s">
        <v>52</v>
      </c>
      <c r="D556" s="9">
        <v>4</v>
      </c>
      <c r="E556" s="1"/>
      <c r="F556" s="1"/>
      <c r="G556" s="1"/>
      <c r="H556" s="1"/>
      <c r="I556" s="1"/>
      <c r="J556" s="1"/>
      <c r="K556" s="1"/>
      <c r="L556" s="1"/>
      <c r="M556" s="1" t="s">
        <v>559</v>
      </c>
    </row>
    <row r="557" spans="1:13" ht="39.950000000000003" customHeight="1">
      <c r="A557" s="9">
        <v>414</v>
      </c>
      <c r="B557" s="2" t="s">
        <v>20</v>
      </c>
      <c r="C557" s="2" t="s">
        <v>52</v>
      </c>
      <c r="D557" s="10">
        <v>18</v>
      </c>
      <c r="E557" s="2">
        <v>0</v>
      </c>
      <c r="F557" s="2">
        <v>0</v>
      </c>
      <c r="G557" s="2">
        <v>0</v>
      </c>
      <c r="H557" s="2"/>
      <c r="I557" s="2">
        <v>0</v>
      </c>
      <c r="J557" s="2">
        <v>0</v>
      </c>
      <c r="K557" s="2">
        <v>0</v>
      </c>
      <c r="L557" s="2"/>
      <c r="M557" s="2" t="s">
        <v>561</v>
      </c>
    </row>
    <row r="558" spans="1:13" ht="39.950000000000003" customHeight="1">
      <c r="A558" s="10">
        <v>415</v>
      </c>
      <c r="B558" s="1" t="s">
        <v>13</v>
      </c>
      <c r="C558" s="1" t="s">
        <v>70</v>
      </c>
      <c r="D558" s="9">
        <v>1</v>
      </c>
      <c r="E558" s="1">
        <v>0</v>
      </c>
      <c r="F558" s="1">
        <v>0</v>
      </c>
      <c r="G558" s="1">
        <v>0</v>
      </c>
      <c r="H558" s="1">
        <v>0</v>
      </c>
      <c r="I558" s="1">
        <v>0</v>
      </c>
      <c r="J558" s="1">
        <v>0</v>
      </c>
      <c r="K558" s="1">
        <v>0</v>
      </c>
      <c r="L558" s="1">
        <v>0</v>
      </c>
      <c r="M558" s="1" t="s">
        <v>562</v>
      </c>
    </row>
    <row r="559" spans="1:13" ht="39.950000000000003" customHeight="1">
      <c r="A559" s="9">
        <v>416</v>
      </c>
      <c r="B559" s="1" t="s">
        <v>87</v>
      </c>
      <c r="C559" s="1" t="s">
        <v>52</v>
      </c>
      <c r="D559" s="9">
        <v>21</v>
      </c>
      <c r="E559" s="1"/>
      <c r="F559" s="1"/>
      <c r="G559" s="1"/>
      <c r="H559" s="1"/>
      <c r="I559" s="1">
        <v>48</v>
      </c>
      <c r="J559" s="1"/>
      <c r="K559" s="1"/>
      <c r="L559" s="1"/>
      <c r="M559" s="1" t="s">
        <v>563</v>
      </c>
    </row>
    <row r="560" spans="1:13" ht="39.950000000000003" customHeight="1">
      <c r="A560" s="10">
        <v>417</v>
      </c>
      <c r="B560" s="2" t="s">
        <v>16</v>
      </c>
      <c r="C560" s="2" t="s">
        <v>14</v>
      </c>
      <c r="D560" s="10">
        <v>169</v>
      </c>
      <c r="E560" s="2">
        <v>0</v>
      </c>
      <c r="F560" s="2">
        <v>0</v>
      </c>
      <c r="G560" s="2">
        <v>0</v>
      </c>
      <c r="H560" s="2">
        <f>91/169*100</f>
        <v>53.846153846153847</v>
      </c>
      <c r="I560" s="2">
        <v>0</v>
      </c>
      <c r="J560" s="2">
        <v>0</v>
      </c>
      <c r="K560" s="2">
        <v>0</v>
      </c>
      <c r="L560" s="2">
        <v>0</v>
      </c>
      <c r="M560" s="2" t="s">
        <v>564</v>
      </c>
    </row>
    <row r="561" spans="1:13" ht="39.950000000000003" customHeight="1">
      <c r="A561" s="9">
        <v>418</v>
      </c>
      <c r="B561" s="2" t="s">
        <v>201</v>
      </c>
      <c r="C561" s="2" t="s">
        <v>14</v>
      </c>
      <c r="D561" s="10">
        <v>6337</v>
      </c>
      <c r="E561" s="2"/>
      <c r="F561" s="2">
        <v>0.32</v>
      </c>
      <c r="G561" s="2"/>
      <c r="H561" s="2">
        <v>16.12</v>
      </c>
      <c r="I561" s="2">
        <v>2.2200000000000002</v>
      </c>
      <c r="J561" s="2"/>
      <c r="K561" s="2">
        <v>0.14000000000000001</v>
      </c>
      <c r="L561" s="2">
        <v>0.32</v>
      </c>
      <c r="M561" s="2" t="s">
        <v>565</v>
      </c>
    </row>
    <row r="562" spans="1:13" ht="39.950000000000003" customHeight="1">
      <c r="A562" s="10">
        <v>419</v>
      </c>
      <c r="B562" s="2" t="s">
        <v>201</v>
      </c>
      <c r="C562" s="2" t="s">
        <v>25</v>
      </c>
      <c r="D562" s="10">
        <v>20</v>
      </c>
      <c r="E562" s="2">
        <v>0</v>
      </c>
      <c r="F562" s="2">
        <v>0</v>
      </c>
      <c r="G562" s="2"/>
      <c r="H562" s="2">
        <v>0</v>
      </c>
      <c r="I562" s="2"/>
      <c r="J562" s="2"/>
      <c r="K562" s="2">
        <v>0</v>
      </c>
      <c r="L562" s="2"/>
      <c r="M562" s="2" t="s">
        <v>566</v>
      </c>
    </row>
    <row r="563" spans="1:13" ht="39.950000000000003" customHeight="1">
      <c r="A563" s="9">
        <v>420</v>
      </c>
      <c r="B563" s="2" t="s">
        <v>16</v>
      </c>
      <c r="C563" s="2" t="s">
        <v>14</v>
      </c>
      <c r="D563" s="10">
        <v>9</v>
      </c>
      <c r="E563" s="2">
        <v>0</v>
      </c>
      <c r="F563" s="2">
        <v>0</v>
      </c>
      <c r="G563" s="2">
        <v>0</v>
      </c>
      <c r="H563" s="2">
        <f>1/9*100</f>
        <v>11.111111111111111</v>
      </c>
      <c r="I563" s="2">
        <v>0</v>
      </c>
      <c r="J563" s="2"/>
      <c r="K563" s="2">
        <v>0</v>
      </c>
      <c r="L563" s="2">
        <v>0</v>
      </c>
      <c r="M563" s="2" t="s">
        <v>567</v>
      </c>
    </row>
    <row r="564" spans="1:13" ht="39.950000000000003" customHeight="1">
      <c r="A564" s="10">
        <v>421</v>
      </c>
      <c r="B564" s="2" t="s">
        <v>73</v>
      </c>
      <c r="C564" s="2" t="s">
        <v>14</v>
      </c>
      <c r="D564" s="10">
        <v>77</v>
      </c>
      <c r="E564" s="2">
        <v>0</v>
      </c>
      <c r="F564" s="2">
        <v>0</v>
      </c>
      <c r="G564" s="2">
        <v>0</v>
      </c>
      <c r="H564" s="2">
        <v>0</v>
      </c>
      <c r="I564" s="2"/>
      <c r="J564" s="2"/>
      <c r="K564" s="2"/>
      <c r="L564" s="2"/>
      <c r="M564" s="2" t="s">
        <v>568</v>
      </c>
    </row>
    <row r="565" spans="1:13" ht="39.950000000000003" customHeight="1">
      <c r="A565" s="9">
        <v>422</v>
      </c>
      <c r="B565" s="2" t="s">
        <v>166</v>
      </c>
      <c r="C565" s="2" t="s">
        <v>14</v>
      </c>
      <c r="D565" s="10">
        <v>50</v>
      </c>
      <c r="E565" s="2"/>
      <c r="F565" s="2"/>
      <c r="G565" s="2"/>
      <c r="H565" s="2"/>
      <c r="I565" s="2"/>
      <c r="J565" s="2"/>
      <c r="K565" s="2">
        <v>4.2</v>
      </c>
      <c r="L565" s="2"/>
      <c r="M565" s="2" t="s">
        <v>569</v>
      </c>
    </row>
    <row r="566" spans="1:13" ht="39.950000000000003" customHeight="1">
      <c r="A566" s="10">
        <v>423</v>
      </c>
      <c r="B566" s="2" t="s">
        <v>61</v>
      </c>
      <c r="C566" s="2" t="s">
        <v>52</v>
      </c>
      <c r="D566" s="10">
        <v>9</v>
      </c>
      <c r="E566" s="2"/>
      <c r="F566" s="2">
        <v>0</v>
      </c>
      <c r="G566" s="2"/>
      <c r="H566" s="2">
        <f>1/9*100</f>
        <v>11.111111111111111</v>
      </c>
      <c r="I566" s="2">
        <f>1/9*100</f>
        <v>11.111111111111111</v>
      </c>
      <c r="J566" s="2"/>
      <c r="K566" s="2">
        <v>0</v>
      </c>
      <c r="L566" s="2">
        <v>0</v>
      </c>
      <c r="M566" s="2" t="s">
        <v>570</v>
      </c>
    </row>
    <row r="567" spans="1:13" ht="39.950000000000003" customHeight="1">
      <c r="A567" s="10">
        <v>424</v>
      </c>
      <c r="B567" s="2" t="s">
        <v>30</v>
      </c>
      <c r="C567" s="2" t="s">
        <v>14</v>
      </c>
      <c r="D567" s="10">
        <v>15</v>
      </c>
      <c r="E567" s="2"/>
      <c r="F567" s="2">
        <v>0</v>
      </c>
      <c r="G567" s="2"/>
      <c r="H567" s="2">
        <v>0</v>
      </c>
      <c r="I567" s="2">
        <v>0</v>
      </c>
      <c r="J567" s="2"/>
      <c r="K567" s="2"/>
      <c r="L567" s="2">
        <v>0</v>
      </c>
      <c r="M567" s="2" t="s">
        <v>571</v>
      </c>
    </row>
    <row r="568" spans="1:13" ht="39.950000000000003" customHeight="1">
      <c r="A568" s="9">
        <v>425</v>
      </c>
      <c r="B568" s="2" t="s">
        <v>48</v>
      </c>
      <c r="C568" s="2" t="s">
        <v>28</v>
      </c>
      <c r="D568" s="10">
        <v>7</v>
      </c>
      <c r="E568" s="2">
        <v>100</v>
      </c>
      <c r="F568" s="2">
        <v>100</v>
      </c>
      <c r="G568" s="2">
        <v>100</v>
      </c>
      <c r="H568" s="2">
        <v>100</v>
      </c>
      <c r="I568" s="2"/>
      <c r="J568" s="2"/>
      <c r="K568" s="2"/>
      <c r="L568" s="2"/>
      <c r="M568" s="2" t="s">
        <v>572</v>
      </c>
    </row>
    <row r="569" spans="1:13" ht="39.950000000000003" customHeight="1">
      <c r="A569" s="10">
        <v>426</v>
      </c>
      <c r="B569" s="2" t="s">
        <v>87</v>
      </c>
      <c r="C569" s="2" t="s">
        <v>14</v>
      </c>
      <c r="D569" s="10">
        <v>8</v>
      </c>
      <c r="E569" s="2">
        <v>0</v>
      </c>
      <c r="F569" s="2">
        <v>0</v>
      </c>
      <c r="G569" s="2">
        <v>0</v>
      </c>
      <c r="H569" s="2">
        <v>0</v>
      </c>
      <c r="I569" s="2">
        <v>0</v>
      </c>
      <c r="J569" s="2">
        <v>0</v>
      </c>
      <c r="K569" s="2">
        <v>0</v>
      </c>
      <c r="L569" s="2">
        <v>0</v>
      </c>
      <c r="M569" s="2" t="s">
        <v>573</v>
      </c>
    </row>
    <row r="570" spans="1:13" ht="39.950000000000003" customHeight="1">
      <c r="A570" s="9">
        <v>427</v>
      </c>
      <c r="B570" s="1" t="s">
        <v>87</v>
      </c>
      <c r="C570" s="1"/>
      <c r="D570" s="9">
        <v>59</v>
      </c>
      <c r="E570" s="1">
        <v>0</v>
      </c>
      <c r="F570" s="1">
        <v>0</v>
      </c>
      <c r="G570" s="1">
        <v>0</v>
      </c>
      <c r="H570" s="1">
        <v>0</v>
      </c>
      <c r="I570" s="1">
        <v>0</v>
      </c>
      <c r="J570" s="1">
        <v>0</v>
      </c>
      <c r="K570" s="1">
        <v>0</v>
      </c>
      <c r="L570" s="1">
        <v>0</v>
      </c>
      <c r="M570" s="1" t="s">
        <v>574</v>
      </c>
    </row>
    <row r="571" spans="1:13" ht="39.950000000000003" customHeight="1">
      <c r="A571" s="10">
        <v>428</v>
      </c>
      <c r="B571" s="2" t="s">
        <v>87</v>
      </c>
      <c r="C571" s="2" t="s">
        <v>14</v>
      </c>
      <c r="D571" s="10">
        <v>5291</v>
      </c>
      <c r="E571" s="2">
        <v>14</v>
      </c>
      <c r="F571" s="2">
        <v>1.2</v>
      </c>
      <c r="G571" s="2">
        <v>2.4</v>
      </c>
      <c r="H571" s="2">
        <v>6.8</v>
      </c>
      <c r="I571" s="2">
        <v>9.5</v>
      </c>
      <c r="J571" s="2">
        <v>12.7</v>
      </c>
      <c r="K571" s="2">
        <v>5.0999999999999996</v>
      </c>
      <c r="L571" s="2">
        <v>5.5</v>
      </c>
      <c r="M571" s="2" t="s">
        <v>575</v>
      </c>
    </row>
    <row r="572" spans="1:13" ht="39.950000000000003" customHeight="1">
      <c r="A572" s="9">
        <v>429</v>
      </c>
      <c r="B572" s="2" t="s">
        <v>87</v>
      </c>
      <c r="C572" s="2" t="s">
        <v>52</v>
      </c>
      <c r="D572" s="10">
        <v>51</v>
      </c>
      <c r="E572" s="2">
        <v>0</v>
      </c>
      <c r="F572" s="2">
        <v>0</v>
      </c>
      <c r="G572" s="2">
        <v>0</v>
      </c>
      <c r="H572" s="2"/>
      <c r="I572" s="2"/>
      <c r="J572" s="2"/>
      <c r="K572" s="2">
        <v>0</v>
      </c>
      <c r="L572" s="2"/>
      <c r="M572" s="2" t="s">
        <v>576</v>
      </c>
    </row>
    <row r="573" spans="1:13" ht="39.950000000000003" customHeight="1">
      <c r="A573" s="10">
        <v>430</v>
      </c>
      <c r="B573" s="1" t="s">
        <v>87</v>
      </c>
      <c r="C573" s="1" t="s">
        <v>577</v>
      </c>
      <c r="D573" s="9">
        <v>45</v>
      </c>
      <c r="E573" s="1"/>
      <c r="F573" s="1">
        <v>0</v>
      </c>
      <c r="G573" s="1"/>
      <c r="H573" s="1">
        <v>0</v>
      </c>
      <c r="I573" s="1">
        <v>2.2200000000000002</v>
      </c>
      <c r="J573" s="1"/>
      <c r="K573" s="1">
        <v>0</v>
      </c>
      <c r="L573" s="1">
        <v>0</v>
      </c>
      <c r="M573" s="1" t="s">
        <v>578</v>
      </c>
    </row>
    <row r="574" spans="1:13" ht="39.950000000000003" customHeight="1">
      <c r="A574" s="9">
        <v>431</v>
      </c>
      <c r="B574" s="2" t="s">
        <v>87</v>
      </c>
      <c r="C574" s="2" t="s">
        <v>14</v>
      </c>
      <c r="D574" s="10">
        <v>19</v>
      </c>
      <c r="E574" s="2"/>
      <c r="F574" s="2">
        <v>0</v>
      </c>
      <c r="G574" s="2"/>
      <c r="H574" s="2"/>
      <c r="I574" s="2">
        <v>0</v>
      </c>
      <c r="J574" s="2"/>
      <c r="K574" s="2">
        <v>0</v>
      </c>
      <c r="L574" s="2">
        <v>0</v>
      </c>
      <c r="M574" s="2" t="s">
        <v>579</v>
      </c>
    </row>
    <row r="575" spans="1:13" ht="39.950000000000003" customHeight="1">
      <c r="A575" s="10">
        <v>432</v>
      </c>
      <c r="B575" s="2" t="s">
        <v>87</v>
      </c>
      <c r="C575" s="2" t="s">
        <v>14</v>
      </c>
      <c r="D575" s="10">
        <v>19</v>
      </c>
      <c r="E575" s="2"/>
      <c r="F575" s="2">
        <v>0</v>
      </c>
      <c r="G575" s="2"/>
      <c r="H575" s="2"/>
      <c r="I575" s="2">
        <v>0</v>
      </c>
      <c r="J575" s="2"/>
      <c r="K575" s="2">
        <v>0</v>
      </c>
      <c r="L575" s="2">
        <v>0</v>
      </c>
      <c r="M575" s="2" t="s">
        <v>579</v>
      </c>
    </row>
    <row r="576" spans="1:13" ht="39.950000000000003" customHeight="1">
      <c r="A576" s="9">
        <v>433</v>
      </c>
      <c r="B576" s="2" t="s">
        <v>48</v>
      </c>
      <c r="C576" s="2" t="s">
        <v>25</v>
      </c>
      <c r="D576" s="10">
        <v>7</v>
      </c>
      <c r="E576" s="2"/>
      <c r="F576" s="2">
        <v>0</v>
      </c>
      <c r="G576" s="2"/>
      <c r="H576" s="2">
        <v>0</v>
      </c>
      <c r="I576" s="2">
        <v>0</v>
      </c>
      <c r="J576" s="2"/>
      <c r="K576" s="2">
        <v>0</v>
      </c>
      <c r="L576" s="2">
        <v>0</v>
      </c>
      <c r="M576" s="2" t="s">
        <v>580</v>
      </c>
    </row>
    <row r="577" spans="1:13" ht="39.950000000000003" customHeight="1">
      <c r="A577" s="10">
        <v>434</v>
      </c>
      <c r="B577" s="2" t="s">
        <v>409</v>
      </c>
      <c r="C577" s="2" t="s">
        <v>14</v>
      </c>
      <c r="D577" s="10">
        <v>20</v>
      </c>
      <c r="E577" s="2">
        <v>0</v>
      </c>
      <c r="F577" s="2">
        <v>0</v>
      </c>
      <c r="G577" s="2"/>
      <c r="H577" s="2">
        <f>1/20*100</f>
        <v>5</v>
      </c>
      <c r="I577" s="2">
        <v>0</v>
      </c>
      <c r="J577" s="2"/>
      <c r="K577" s="2">
        <v>0</v>
      </c>
      <c r="L577" s="2">
        <v>0</v>
      </c>
      <c r="M577" s="2" t="s">
        <v>581</v>
      </c>
    </row>
    <row r="578" spans="1:13" ht="39.950000000000003" customHeight="1">
      <c r="A578" s="9">
        <v>435</v>
      </c>
      <c r="B578" s="1" t="s">
        <v>48</v>
      </c>
      <c r="C578" s="1" t="s">
        <v>52</v>
      </c>
      <c r="D578" s="9">
        <v>106</v>
      </c>
      <c r="E578" s="1"/>
      <c r="F578" s="1"/>
      <c r="G578" s="1"/>
      <c r="H578" s="1"/>
      <c r="I578" s="1"/>
      <c r="J578" s="1"/>
      <c r="K578" s="1">
        <v>20.75</v>
      </c>
      <c r="L578" s="1"/>
      <c r="M578" s="1" t="s">
        <v>582</v>
      </c>
    </row>
    <row r="579" spans="1:13" ht="39.950000000000003" customHeight="1">
      <c r="A579" s="10">
        <v>436</v>
      </c>
      <c r="B579" s="2" t="s">
        <v>18</v>
      </c>
      <c r="C579" s="1"/>
      <c r="D579" s="10">
        <v>20</v>
      </c>
      <c r="E579" s="1">
        <v>0</v>
      </c>
      <c r="F579" s="1">
        <v>0</v>
      </c>
      <c r="G579" s="1"/>
      <c r="H579" s="1"/>
      <c r="I579" s="1">
        <v>0</v>
      </c>
      <c r="J579" s="1"/>
      <c r="K579" s="1"/>
      <c r="L579" s="1">
        <v>0</v>
      </c>
      <c r="M579" s="1" t="s">
        <v>583</v>
      </c>
    </row>
    <row r="580" spans="1:13" ht="39.950000000000003" customHeight="1">
      <c r="A580" s="9">
        <v>437</v>
      </c>
      <c r="B580" s="2" t="s">
        <v>27</v>
      </c>
      <c r="C580" s="2" t="s">
        <v>14</v>
      </c>
      <c r="D580" s="10">
        <v>50</v>
      </c>
      <c r="E580" s="2">
        <v>2</v>
      </c>
      <c r="F580" s="2">
        <v>0</v>
      </c>
      <c r="G580" s="2">
        <v>0</v>
      </c>
      <c r="H580" s="2">
        <v>42</v>
      </c>
      <c r="I580" s="2">
        <v>4</v>
      </c>
      <c r="J580" s="2">
        <v>10</v>
      </c>
      <c r="K580" s="2">
        <v>0</v>
      </c>
      <c r="L580" s="2">
        <v>6</v>
      </c>
      <c r="M580" s="2" t="s">
        <v>584</v>
      </c>
    </row>
    <row r="581" spans="1:13" ht="39.950000000000003" customHeight="1">
      <c r="A581" s="10">
        <v>438</v>
      </c>
      <c r="B581" s="2" t="s">
        <v>166</v>
      </c>
      <c r="C581" s="2" t="s">
        <v>52</v>
      </c>
      <c r="D581" s="10">
        <v>96</v>
      </c>
      <c r="E581" s="2"/>
      <c r="F581" s="2">
        <v>13.98</v>
      </c>
      <c r="G581" s="2"/>
      <c r="H581" s="2">
        <v>7.53</v>
      </c>
      <c r="I581" s="2">
        <v>8.42</v>
      </c>
      <c r="J581" s="2"/>
      <c r="K581" s="2">
        <v>4.21</v>
      </c>
      <c r="L581" s="2">
        <v>12.63</v>
      </c>
      <c r="M581" s="2" t="s">
        <v>585</v>
      </c>
    </row>
    <row r="582" spans="1:13" ht="39.950000000000003" customHeight="1">
      <c r="A582" s="9">
        <v>439</v>
      </c>
      <c r="B582" s="2" t="s">
        <v>51</v>
      </c>
      <c r="C582" s="2" t="s">
        <v>25</v>
      </c>
      <c r="D582" s="10">
        <v>352</v>
      </c>
      <c r="E582" s="2">
        <f>3.12/540.57*100</f>
        <v>0.57716854431433484</v>
      </c>
      <c r="F582" s="2">
        <f>0.32/540.57*100</f>
        <v>5.9196773775829215E-2</v>
      </c>
      <c r="G582" s="2">
        <f>4.65/540.57*100</f>
        <v>0.86020311893001833</v>
      </c>
      <c r="H582" s="2">
        <f>3.52/540.57*100</f>
        <v>0.65116451153412136</v>
      </c>
      <c r="I582" s="2">
        <f>7.49/540.57*100</f>
        <v>1.3855744861905024</v>
      </c>
      <c r="J582" s="2"/>
      <c r="K582" s="2">
        <f>0.45/540.57*100</f>
        <v>8.3245463122259833E-2</v>
      </c>
      <c r="L582" s="2">
        <f>11.79/540.57*100</f>
        <v>2.1810311338032076</v>
      </c>
      <c r="M582" s="2" t="s">
        <v>586</v>
      </c>
    </row>
    <row r="583" spans="1:13" ht="39.950000000000003" customHeight="1">
      <c r="A583" s="10">
        <v>440</v>
      </c>
      <c r="B583" s="1" t="s">
        <v>587</v>
      </c>
      <c r="C583" s="1" t="s">
        <v>70</v>
      </c>
      <c r="D583" s="9">
        <v>56</v>
      </c>
      <c r="E583" s="1"/>
      <c r="F583" s="1"/>
      <c r="G583" s="1"/>
      <c r="H583" s="1"/>
      <c r="I583" s="1">
        <v>0</v>
      </c>
      <c r="J583" s="1"/>
      <c r="K583" s="1"/>
      <c r="L583" s="1"/>
      <c r="M583" s="1" t="s">
        <v>588</v>
      </c>
    </row>
    <row r="584" spans="1:13" ht="39.950000000000003" customHeight="1">
      <c r="A584" s="9">
        <v>441</v>
      </c>
      <c r="B584" s="2" t="s">
        <v>589</v>
      </c>
      <c r="C584" s="2" t="s">
        <v>14</v>
      </c>
      <c r="D584" s="10">
        <v>157</v>
      </c>
      <c r="E584" s="2">
        <f>2/99*100</f>
        <v>2.0202020202020203</v>
      </c>
      <c r="F584" s="2">
        <v>0</v>
      </c>
      <c r="G584" s="2">
        <f>2/99*100</f>
        <v>2.0202020202020203</v>
      </c>
      <c r="H584" s="2">
        <v>32.5</v>
      </c>
      <c r="I584" s="2">
        <v>0</v>
      </c>
      <c r="J584" s="2"/>
      <c r="K584" s="2">
        <v>0</v>
      </c>
      <c r="L584" s="2">
        <f>6/157*100</f>
        <v>3.8216560509554141</v>
      </c>
      <c r="M584" s="2" t="s">
        <v>590</v>
      </c>
    </row>
    <row r="585" spans="1:13" ht="39.950000000000003" customHeight="1">
      <c r="A585" s="10">
        <v>442</v>
      </c>
      <c r="B585" s="2" t="s">
        <v>18</v>
      </c>
      <c r="C585" s="2" t="s">
        <v>14</v>
      </c>
      <c r="D585" s="10">
        <v>86</v>
      </c>
      <c r="E585" s="2">
        <v>2.33</v>
      </c>
      <c r="F585" s="2">
        <v>0</v>
      </c>
      <c r="G585" s="2">
        <v>1.1599999999999999</v>
      </c>
      <c r="H585" s="2">
        <v>2.33</v>
      </c>
      <c r="I585" s="2">
        <v>0</v>
      </c>
      <c r="J585" s="2"/>
      <c r="K585" s="2">
        <v>0</v>
      </c>
      <c r="L585" s="2"/>
      <c r="M585" s="2"/>
    </row>
    <row r="586" spans="1:13" ht="39.950000000000003" customHeight="1">
      <c r="A586" s="9">
        <v>443</v>
      </c>
      <c r="B586" s="2" t="s">
        <v>27</v>
      </c>
      <c r="C586" s="2" t="s">
        <v>14</v>
      </c>
      <c r="D586" s="10">
        <v>655</v>
      </c>
      <c r="E586" s="2">
        <v>0.62</v>
      </c>
      <c r="F586" s="2">
        <v>1.23</v>
      </c>
      <c r="G586" s="2">
        <f>2.14+0.61+1.22</f>
        <v>3.9699999999999998</v>
      </c>
      <c r="H586" s="2">
        <f>100-18.32</f>
        <v>81.680000000000007</v>
      </c>
      <c r="I586" s="2">
        <f>1.68+1.07+0.15</f>
        <v>2.9</v>
      </c>
      <c r="J586" s="2">
        <f>100-96.18</f>
        <v>3.8199999999999932</v>
      </c>
      <c r="K586" s="2">
        <v>0.61</v>
      </c>
      <c r="L586" s="2"/>
      <c r="M586" s="2" t="s">
        <v>591</v>
      </c>
    </row>
    <row r="587" spans="1:13" ht="39.950000000000003" customHeight="1">
      <c r="A587" s="10">
        <v>444</v>
      </c>
      <c r="B587" s="2" t="s">
        <v>27</v>
      </c>
      <c r="C587" s="2" t="s">
        <v>14</v>
      </c>
      <c r="D587" s="10">
        <v>23</v>
      </c>
      <c r="E587" s="2">
        <v>13.04</v>
      </c>
      <c r="F587" s="2">
        <v>17.39</v>
      </c>
      <c r="G587" s="2">
        <v>21.74</v>
      </c>
      <c r="H587" s="2"/>
      <c r="I587" s="2"/>
      <c r="J587" s="2"/>
      <c r="K587" s="2">
        <v>0</v>
      </c>
      <c r="L587" s="2"/>
      <c r="M587" s="2" t="s">
        <v>592</v>
      </c>
    </row>
    <row r="588" spans="1:13" ht="39.950000000000003" customHeight="1">
      <c r="A588" s="9">
        <v>445</v>
      </c>
      <c r="B588" s="2" t="s">
        <v>13</v>
      </c>
      <c r="C588" s="2" t="s">
        <v>14</v>
      </c>
      <c r="D588" s="10">
        <v>12</v>
      </c>
      <c r="E588" s="2">
        <v>0</v>
      </c>
      <c r="F588" s="2">
        <v>0</v>
      </c>
      <c r="G588" s="2">
        <v>41.7</v>
      </c>
      <c r="H588" s="2">
        <v>41.7</v>
      </c>
      <c r="I588" s="2">
        <v>0</v>
      </c>
      <c r="J588" s="2"/>
      <c r="K588" s="2">
        <v>0</v>
      </c>
      <c r="L588" s="2">
        <v>50</v>
      </c>
      <c r="M588" s="2" t="s">
        <v>593</v>
      </c>
    </row>
    <row r="589" spans="1:13" ht="39.950000000000003" customHeight="1">
      <c r="A589" s="10">
        <v>446</v>
      </c>
      <c r="B589" s="2" t="s">
        <v>13</v>
      </c>
      <c r="C589" s="2" t="s">
        <v>14</v>
      </c>
      <c r="D589" s="10">
        <v>904</v>
      </c>
      <c r="E589" s="2">
        <v>3.43</v>
      </c>
      <c r="F589" s="2">
        <v>5.35</v>
      </c>
      <c r="G589" s="2">
        <v>1.8</v>
      </c>
      <c r="H589" s="2">
        <v>10.72</v>
      </c>
      <c r="I589" s="2">
        <v>1.04</v>
      </c>
      <c r="J589" s="2">
        <v>9.6999999999999993</v>
      </c>
      <c r="K589" s="2">
        <v>3.03</v>
      </c>
      <c r="L589" s="2">
        <v>6.8</v>
      </c>
      <c r="M589" s="2" t="s">
        <v>594</v>
      </c>
    </row>
    <row r="590" spans="1:13" ht="39.950000000000003" customHeight="1">
      <c r="A590" s="9">
        <v>447</v>
      </c>
      <c r="B590" s="2" t="s">
        <v>13</v>
      </c>
      <c r="C590" s="2"/>
      <c r="D590" s="10">
        <v>174</v>
      </c>
      <c r="E590" s="2">
        <v>3</v>
      </c>
      <c r="F590" s="2">
        <v>11.5</v>
      </c>
      <c r="G590" s="2">
        <v>2.2999999999999998</v>
      </c>
      <c r="H590" s="2">
        <v>17.2</v>
      </c>
      <c r="I590" s="2">
        <v>2.9</v>
      </c>
      <c r="J590" s="2"/>
      <c r="K590" s="2"/>
      <c r="L590" s="2">
        <v>8</v>
      </c>
      <c r="M590" s="2" t="s">
        <v>595</v>
      </c>
    </row>
    <row r="591" spans="1:13" ht="39.950000000000003" customHeight="1">
      <c r="A591" s="10">
        <v>448</v>
      </c>
      <c r="B591" s="2" t="s">
        <v>84</v>
      </c>
      <c r="C591" s="2" t="s">
        <v>25</v>
      </c>
      <c r="D591" s="10">
        <v>21</v>
      </c>
      <c r="E591" s="2">
        <v>0</v>
      </c>
      <c r="F591" s="2">
        <v>0</v>
      </c>
      <c r="G591" s="2">
        <v>0</v>
      </c>
      <c r="H591" s="2">
        <v>100</v>
      </c>
      <c r="I591" s="2"/>
      <c r="J591" s="2">
        <v>0</v>
      </c>
      <c r="K591" s="2">
        <v>0</v>
      </c>
      <c r="L591" s="2"/>
      <c r="M591" s="2" t="s">
        <v>596</v>
      </c>
    </row>
    <row r="592" spans="1:13" ht="39.950000000000003" customHeight="1">
      <c r="A592" s="9">
        <v>449</v>
      </c>
      <c r="B592" s="1"/>
      <c r="C592" s="1"/>
      <c r="D592" s="9">
        <v>17</v>
      </c>
      <c r="E592" s="1">
        <v>0</v>
      </c>
      <c r="F592" s="1">
        <v>0</v>
      </c>
      <c r="G592" s="1">
        <v>0</v>
      </c>
      <c r="H592" s="1">
        <f>2/17*100</f>
        <v>11.76470588235294</v>
      </c>
      <c r="I592" s="1"/>
      <c r="J592" s="1"/>
      <c r="K592" s="1">
        <v>0</v>
      </c>
      <c r="L592" s="1"/>
      <c r="M592" s="1" t="s">
        <v>597</v>
      </c>
    </row>
    <row r="593" spans="1:13" ht="39.950000000000003" customHeight="1">
      <c r="A593" s="10">
        <v>450</v>
      </c>
      <c r="B593" s="2" t="s">
        <v>61</v>
      </c>
      <c r="C593" s="2" t="s">
        <v>14</v>
      </c>
      <c r="D593" s="10">
        <v>35</v>
      </c>
      <c r="E593" s="2">
        <v>11.1</v>
      </c>
      <c r="F593" s="2">
        <v>0</v>
      </c>
      <c r="G593" s="2"/>
      <c r="H593" s="2">
        <v>3.7</v>
      </c>
      <c r="I593" s="2">
        <v>0</v>
      </c>
      <c r="J593" s="2"/>
      <c r="K593" s="2">
        <v>0</v>
      </c>
      <c r="L593" s="2">
        <v>0</v>
      </c>
      <c r="M593" s="2" t="s">
        <v>598</v>
      </c>
    </row>
    <row r="594" spans="1:13" ht="39.950000000000003" customHeight="1">
      <c r="A594" s="10">
        <v>451</v>
      </c>
      <c r="B594" s="2" t="s">
        <v>73</v>
      </c>
      <c r="C594" s="2" t="s">
        <v>14</v>
      </c>
      <c r="D594" s="10">
        <v>132</v>
      </c>
      <c r="E594" s="2"/>
      <c r="F594" s="2">
        <v>0</v>
      </c>
      <c r="G594" s="2"/>
      <c r="H594" s="2">
        <v>0</v>
      </c>
      <c r="I594" s="2">
        <v>0</v>
      </c>
      <c r="J594" s="2"/>
      <c r="K594" s="2"/>
      <c r="L594" s="2">
        <v>0</v>
      </c>
      <c r="M594" s="2" t="s">
        <v>599</v>
      </c>
    </row>
    <row r="595" spans="1:13" ht="39.950000000000003" customHeight="1">
      <c r="A595" s="9">
        <v>452</v>
      </c>
      <c r="B595" s="2" t="s">
        <v>446</v>
      </c>
      <c r="C595" s="2" t="s">
        <v>52</v>
      </c>
      <c r="D595" s="10">
        <v>1772</v>
      </c>
      <c r="E595" s="2">
        <f>13/1772*100</f>
        <v>0.73363431151241532</v>
      </c>
      <c r="F595" s="2">
        <v>0</v>
      </c>
      <c r="G595" s="2">
        <f>5/1772*100</f>
        <v>0.28216704288939054</v>
      </c>
      <c r="H595" s="2">
        <f>241/1772*100</f>
        <v>13.600451467268623</v>
      </c>
      <c r="I595" s="2">
        <f>2/1772*100</f>
        <v>0.11286681715575619</v>
      </c>
      <c r="J595" s="2">
        <f>70/1772*100</f>
        <v>3.9503386004514676</v>
      </c>
      <c r="K595" s="2">
        <f>1/1772*100</f>
        <v>5.6433408577878097E-2</v>
      </c>
      <c r="L595" s="2">
        <f>11/1772*100</f>
        <v>0.62076749435665912</v>
      </c>
      <c r="M595" s="2" t="s">
        <v>600</v>
      </c>
    </row>
    <row r="596" spans="1:13" ht="39.950000000000003" customHeight="1">
      <c r="A596" s="10">
        <v>453</v>
      </c>
      <c r="B596" s="2" t="s">
        <v>61</v>
      </c>
      <c r="C596" s="2" t="s">
        <v>220</v>
      </c>
      <c r="D596" s="10">
        <v>13</v>
      </c>
      <c r="E596" s="2"/>
      <c r="F596" s="2">
        <v>0</v>
      </c>
      <c r="G596" s="2"/>
      <c r="H596" s="2">
        <v>100</v>
      </c>
      <c r="I596" s="2"/>
      <c r="J596" s="2"/>
      <c r="K596" s="2"/>
      <c r="L596" s="2"/>
      <c r="M596" s="2" t="s">
        <v>601</v>
      </c>
    </row>
    <row r="597" spans="1:13" ht="39.950000000000003" customHeight="1">
      <c r="A597" s="9">
        <v>454</v>
      </c>
      <c r="B597" s="2" t="s">
        <v>13</v>
      </c>
      <c r="C597" s="2" t="s">
        <v>602</v>
      </c>
      <c r="D597" s="10">
        <v>36</v>
      </c>
      <c r="E597" s="2">
        <v>0</v>
      </c>
      <c r="F597" s="2">
        <v>0</v>
      </c>
      <c r="G597" s="2"/>
      <c r="H597" s="2">
        <v>0</v>
      </c>
      <c r="I597" s="2">
        <v>0</v>
      </c>
      <c r="J597" s="1"/>
      <c r="K597" s="2">
        <v>0</v>
      </c>
      <c r="L597" s="2">
        <v>0</v>
      </c>
      <c r="M597" s="1" t="s">
        <v>603</v>
      </c>
    </row>
    <row r="598" spans="1:13" ht="39.950000000000003" customHeight="1">
      <c r="A598" s="10">
        <v>455</v>
      </c>
      <c r="B598" s="2" t="s">
        <v>20</v>
      </c>
      <c r="C598" s="2" t="s">
        <v>14</v>
      </c>
      <c r="D598" s="10">
        <v>71</v>
      </c>
      <c r="E598" s="2">
        <v>0</v>
      </c>
      <c r="F598" s="2">
        <v>0</v>
      </c>
      <c r="G598" s="2">
        <v>0</v>
      </c>
      <c r="H598" s="2">
        <v>0</v>
      </c>
      <c r="I598" s="2">
        <v>0</v>
      </c>
      <c r="J598" s="2">
        <v>0</v>
      </c>
      <c r="K598" s="2">
        <v>0</v>
      </c>
      <c r="L598" s="2">
        <v>0</v>
      </c>
      <c r="M598" s="2" t="s">
        <v>604</v>
      </c>
    </row>
    <row r="599" spans="1:13" ht="39.950000000000003" customHeight="1">
      <c r="A599" s="9">
        <v>456</v>
      </c>
      <c r="B599" s="2" t="s">
        <v>48</v>
      </c>
      <c r="C599" s="2" t="s">
        <v>14</v>
      </c>
      <c r="D599" s="10">
        <v>12</v>
      </c>
      <c r="E599" s="2"/>
      <c r="F599" s="2">
        <v>0</v>
      </c>
      <c r="G599" s="2"/>
      <c r="H599" s="2">
        <v>8.3000000000000007</v>
      </c>
      <c r="I599" s="2">
        <v>8.3000000000000007</v>
      </c>
      <c r="J599" s="2"/>
      <c r="K599" s="2">
        <v>0</v>
      </c>
      <c r="L599" s="2">
        <v>16.600000000000001</v>
      </c>
      <c r="M599" s="2" t="s">
        <v>605</v>
      </c>
    </row>
    <row r="600" spans="1:13" ht="39.950000000000003" customHeight="1">
      <c r="A600" s="9">
        <v>457</v>
      </c>
      <c r="B600" s="2" t="s">
        <v>48</v>
      </c>
      <c r="C600" s="2" t="s">
        <v>14</v>
      </c>
      <c r="D600" s="10">
        <v>18</v>
      </c>
      <c r="E600" s="2"/>
      <c r="F600" s="2">
        <v>0</v>
      </c>
      <c r="G600" s="2"/>
      <c r="H600" s="2">
        <v>33.299999999999997</v>
      </c>
      <c r="I600" s="2">
        <v>0</v>
      </c>
      <c r="J600" s="2"/>
      <c r="K600" s="2">
        <v>0</v>
      </c>
      <c r="L600" s="2">
        <v>38.9</v>
      </c>
      <c r="M600" s="2" t="s">
        <v>605</v>
      </c>
    </row>
    <row r="601" spans="1:13" ht="39.950000000000003" customHeight="1">
      <c r="A601" s="9">
        <v>457</v>
      </c>
      <c r="B601" s="2" t="s">
        <v>48</v>
      </c>
      <c r="C601" s="2" t="s">
        <v>14</v>
      </c>
      <c r="D601" s="10">
        <v>33</v>
      </c>
      <c r="E601" s="2"/>
      <c r="F601" s="2">
        <v>0</v>
      </c>
      <c r="G601" s="2"/>
      <c r="H601" s="2">
        <v>42.4</v>
      </c>
      <c r="I601" s="2">
        <v>0</v>
      </c>
      <c r="J601" s="2"/>
      <c r="K601" s="2">
        <v>3</v>
      </c>
      <c r="L601" s="2">
        <v>51.5</v>
      </c>
      <c r="M601" s="2" t="s">
        <v>605</v>
      </c>
    </row>
    <row r="602" spans="1:13" ht="39.950000000000003" customHeight="1">
      <c r="A602" s="9">
        <v>457</v>
      </c>
      <c r="B602" s="2" t="s">
        <v>48</v>
      </c>
      <c r="C602" s="2" t="s">
        <v>14</v>
      </c>
      <c r="D602" s="10">
        <v>42</v>
      </c>
      <c r="E602" s="2"/>
      <c r="F602" s="2">
        <v>0</v>
      </c>
      <c r="G602" s="2"/>
      <c r="H602" s="2">
        <v>35.700000000000003</v>
      </c>
      <c r="I602" s="2">
        <v>0</v>
      </c>
      <c r="J602" s="2"/>
      <c r="K602" s="2">
        <v>2.4</v>
      </c>
      <c r="L602" s="2">
        <v>61.9</v>
      </c>
      <c r="M602" s="2" t="s">
        <v>605</v>
      </c>
    </row>
    <row r="603" spans="1:13" ht="39.950000000000003" customHeight="1">
      <c r="A603" s="10">
        <v>458</v>
      </c>
      <c r="B603" s="2" t="s">
        <v>48</v>
      </c>
      <c r="C603" s="2" t="s">
        <v>52</v>
      </c>
      <c r="D603" s="10">
        <v>114</v>
      </c>
      <c r="E603" s="2">
        <v>73.7</v>
      </c>
      <c r="F603" s="2">
        <v>0</v>
      </c>
      <c r="G603" s="2">
        <v>28.9</v>
      </c>
      <c r="H603" s="2">
        <v>88.6</v>
      </c>
      <c r="I603" s="2"/>
      <c r="J603" s="2">
        <v>59.6</v>
      </c>
      <c r="K603" s="2">
        <v>0</v>
      </c>
      <c r="L603" s="2"/>
      <c r="M603" s="2" t="s">
        <v>606</v>
      </c>
    </row>
    <row r="604" spans="1:13" ht="39.950000000000003" customHeight="1">
      <c r="A604" s="9">
        <v>459</v>
      </c>
      <c r="B604" s="2" t="s">
        <v>607</v>
      </c>
      <c r="C604" s="2" t="s">
        <v>14</v>
      </c>
      <c r="D604" s="10">
        <v>232</v>
      </c>
      <c r="E604" s="2"/>
      <c r="F604" s="2">
        <v>0</v>
      </c>
      <c r="G604" s="2"/>
      <c r="H604" s="2">
        <v>45.26</v>
      </c>
      <c r="I604" s="2">
        <v>5.17</v>
      </c>
      <c r="J604" s="2"/>
      <c r="K604" s="2">
        <v>1.23</v>
      </c>
      <c r="L604" s="2">
        <v>7.76</v>
      </c>
      <c r="M604" s="2" t="s">
        <v>608</v>
      </c>
    </row>
    <row r="605" spans="1:13" ht="39.950000000000003" customHeight="1">
      <c r="A605" s="10">
        <v>460</v>
      </c>
      <c r="B605" s="2" t="s">
        <v>27</v>
      </c>
      <c r="C605" s="2" t="s">
        <v>14</v>
      </c>
      <c r="D605" s="10">
        <v>18</v>
      </c>
      <c r="E605" s="2">
        <v>64.705882352941174</v>
      </c>
      <c r="F605" s="2">
        <v>41.17647058823529</v>
      </c>
      <c r="G605" s="2">
        <v>82.35294117647058</v>
      </c>
      <c r="H605" s="2">
        <v>100</v>
      </c>
      <c r="I605" s="2">
        <v>23.52941176470588</v>
      </c>
      <c r="J605" s="2"/>
      <c r="K605" s="2"/>
      <c r="L605" s="2">
        <v>88.235294117647058</v>
      </c>
      <c r="M605" s="2" t="s">
        <v>609</v>
      </c>
    </row>
    <row r="606" spans="1:13" ht="39.950000000000003" customHeight="1">
      <c r="A606" s="9">
        <v>461</v>
      </c>
      <c r="B606" s="2" t="s">
        <v>13</v>
      </c>
      <c r="C606" s="2" t="s">
        <v>28</v>
      </c>
      <c r="D606" s="10">
        <v>48</v>
      </c>
      <c r="E606" s="2">
        <v>100</v>
      </c>
      <c r="F606" s="2">
        <v>91.67</v>
      </c>
      <c r="G606" s="2">
        <v>100</v>
      </c>
      <c r="H606" s="2"/>
      <c r="I606" s="2">
        <v>79.17</v>
      </c>
      <c r="J606" s="2">
        <v>68.75</v>
      </c>
      <c r="K606" s="2">
        <v>0</v>
      </c>
      <c r="L606" s="2"/>
      <c r="M606" s="2" t="s">
        <v>609</v>
      </c>
    </row>
    <row r="607" spans="1:13" ht="39.950000000000003" customHeight="1">
      <c r="A607" s="10">
        <v>462</v>
      </c>
      <c r="B607" s="2" t="s">
        <v>61</v>
      </c>
      <c r="C607" s="2" t="s">
        <v>14</v>
      </c>
      <c r="D607" s="10">
        <v>20</v>
      </c>
      <c r="E607" s="2"/>
      <c r="F607" s="2">
        <v>0</v>
      </c>
      <c r="G607" s="2"/>
      <c r="H607" s="2">
        <v>30</v>
      </c>
      <c r="I607" s="2">
        <v>0</v>
      </c>
      <c r="J607" s="2"/>
      <c r="K607" s="2">
        <v>0</v>
      </c>
      <c r="L607" s="2">
        <v>0</v>
      </c>
      <c r="M607" s="2" t="s">
        <v>610</v>
      </c>
    </row>
    <row r="608" spans="1:13" ht="39.950000000000003" customHeight="1">
      <c r="A608" s="10">
        <v>462</v>
      </c>
      <c r="B608" s="2" t="s">
        <v>61</v>
      </c>
      <c r="C608" s="2" t="s">
        <v>14</v>
      </c>
      <c r="D608" s="10">
        <v>22</v>
      </c>
      <c r="E608" s="2"/>
      <c r="F608" s="2">
        <v>0</v>
      </c>
      <c r="G608" s="2"/>
      <c r="H608" s="2">
        <v>45.5</v>
      </c>
      <c r="I608" s="2">
        <v>0</v>
      </c>
      <c r="J608" s="2"/>
      <c r="K608" s="2">
        <v>0</v>
      </c>
      <c r="L608" s="2">
        <v>13.6</v>
      </c>
      <c r="M608" s="2" t="s">
        <v>610</v>
      </c>
    </row>
    <row r="609" spans="1:13" ht="39.950000000000003" customHeight="1">
      <c r="A609" s="10">
        <v>462</v>
      </c>
      <c r="B609" s="2" t="s">
        <v>61</v>
      </c>
      <c r="C609" s="2" t="s">
        <v>14</v>
      </c>
      <c r="D609" s="10">
        <v>21</v>
      </c>
      <c r="E609" s="2"/>
      <c r="F609" s="2">
        <v>0</v>
      </c>
      <c r="G609" s="2"/>
      <c r="H609" s="2">
        <v>52.4</v>
      </c>
      <c r="I609" s="2">
        <v>0</v>
      </c>
      <c r="J609" s="2"/>
      <c r="K609" s="2">
        <v>0</v>
      </c>
      <c r="L609" s="2">
        <v>9.5</v>
      </c>
      <c r="M609" s="2" t="s">
        <v>610</v>
      </c>
    </row>
    <row r="610" spans="1:13" ht="39.950000000000003" customHeight="1">
      <c r="A610" s="10">
        <v>462</v>
      </c>
      <c r="B610" s="2" t="s">
        <v>61</v>
      </c>
      <c r="C610" s="2" t="s">
        <v>14</v>
      </c>
      <c r="D610" s="10">
        <v>17</v>
      </c>
      <c r="E610" s="2"/>
      <c r="F610" s="2">
        <v>0</v>
      </c>
      <c r="G610" s="2"/>
      <c r="H610" s="2">
        <v>64.7</v>
      </c>
      <c r="I610" s="2">
        <v>0</v>
      </c>
      <c r="J610" s="2"/>
      <c r="K610" s="2">
        <v>0</v>
      </c>
      <c r="L610" s="2">
        <v>0</v>
      </c>
      <c r="M610" s="2" t="s">
        <v>610</v>
      </c>
    </row>
    <row r="611" spans="1:13" ht="39.950000000000003" customHeight="1">
      <c r="A611" s="10">
        <v>463</v>
      </c>
      <c r="B611" s="2" t="s">
        <v>46</v>
      </c>
      <c r="C611" s="2" t="s">
        <v>14</v>
      </c>
      <c r="D611" s="10">
        <v>10</v>
      </c>
      <c r="E611" s="2">
        <v>0</v>
      </c>
      <c r="F611" s="2">
        <v>0</v>
      </c>
      <c r="G611" s="2">
        <v>0</v>
      </c>
      <c r="H611" s="2">
        <v>0</v>
      </c>
      <c r="I611" s="2">
        <v>0</v>
      </c>
      <c r="J611" s="2">
        <v>0</v>
      </c>
      <c r="K611" s="2">
        <v>0</v>
      </c>
      <c r="L611" s="2">
        <v>0</v>
      </c>
      <c r="M611" s="2"/>
    </row>
    <row r="612" spans="1:13" ht="39.950000000000003" customHeight="1">
      <c r="A612" s="10">
        <v>464</v>
      </c>
      <c r="B612" s="2" t="s">
        <v>252</v>
      </c>
      <c r="C612" s="2" t="s">
        <v>52</v>
      </c>
      <c r="D612" s="10">
        <v>8</v>
      </c>
      <c r="E612" s="2">
        <v>0</v>
      </c>
      <c r="F612" s="2">
        <v>0</v>
      </c>
      <c r="G612" s="2">
        <v>0</v>
      </c>
      <c r="H612" s="2">
        <v>0</v>
      </c>
      <c r="I612" s="2"/>
      <c r="J612" s="2"/>
      <c r="K612" s="2"/>
      <c r="L612" s="2"/>
      <c r="M612" s="2" t="s">
        <v>612</v>
      </c>
    </row>
    <row r="613" spans="1:13" ht="39.950000000000003" customHeight="1">
      <c r="A613" s="10">
        <v>465</v>
      </c>
      <c r="B613" s="2" t="s">
        <v>30</v>
      </c>
      <c r="C613" s="2" t="s">
        <v>14</v>
      </c>
      <c r="D613" s="10">
        <f>10+15+17+13+15+10+7+15</f>
        <v>102</v>
      </c>
      <c r="E613" s="2">
        <v>0</v>
      </c>
      <c r="F613" s="2">
        <v>0</v>
      </c>
      <c r="G613" s="2">
        <v>5</v>
      </c>
      <c r="H613" s="2">
        <v>6</v>
      </c>
      <c r="I613" s="2">
        <v>0</v>
      </c>
      <c r="J613" s="2">
        <v>0</v>
      </c>
      <c r="K613" s="2">
        <v>0</v>
      </c>
      <c r="L613" s="2">
        <v>0</v>
      </c>
      <c r="M613" s="2" t="s">
        <v>455</v>
      </c>
    </row>
  </sheetData>
  <phoneticPr fontId="2" type="noConversion"/>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2015-07-26T11:37:05Z</dcterms:created>
  <dcterms:modified xsi:type="dcterms:W3CDTF">2015-07-26T11:58:52Z</dcterms:modified>
</cp:coreProperties>
</file>